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8700" tabRatio="0" activeTab="0"/>
  </bookViews>
  <sheets>
    <sheet name="TDSheet" sheetId="1" r:id="rId1"/>
  </sheets>
  <externalReferences>
    <externalReference r:id="rId4"/>
  </externalReferences>
  <definedNames>
    <definedName name="_xlnm.Print_Area" localSheetId="0">'TDSheet'!$A$1:$S$313</definedName>
  </definedNames>
  <calcPr fullCalcOnLoad="1"/>
</workbook>
</file>

<file path=xl/sharedStrings.xml><?xml version="1.0" encoding="utf-8"?>
<sst xmlns="http://schemas.openxmlformats.org/spreadsheetml/2006/main" count="527" uniqueCount="132">
  <si>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</si>
  <si>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</si>
  <si>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</si>
  <si>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</si>
  <si>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</si>
  <si>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</si>
  <si>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</si>
  <si>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</si>
  <si>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</si>
  <si>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</si>
  <si>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</si>
  <si>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</si>
  <si>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</si>
  <si>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</si>
  <si>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</si>
  <si>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</si>
  <si>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</si>
  <si>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</si>
  <si>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</si>
  <si>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</si>
  <si>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</si>
  <si>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</si>
  <si>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</si>
  <si>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</si>
  <si>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</si>
  <si>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</si>
  <si>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</si>
  <si>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</si>
  <si>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</si>
  <si>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</si>
  <si>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</si>
  <si>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</si>
  <si>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</si>
  <si>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</si>
  <si>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</si>
  <si>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</si>
  <si>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</si>
  <si>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</si>
  <si>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</si>
  <si>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</si>
  <si>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</si>
  <si>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 xml:space="preserve">Молоко сгущенное порционно 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</si>
  <si>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</si>
  <si>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</si>
  <si>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Салат из свежей капусты с зеленью  "Молодость"</t>
  </si>
  <si>
    <t>Чай с лимоном</t>
  </si>
  <si>
    <t>Хлеб ржано-пшеничный</t>
  </si>
  <si>
    <t xml:space="preserve">Картофельное пюре с маслом сливочным </t>
  </si>
  <si>
    <t xml:space="preserve">Омлет натуральный с маслом сливочным </t>
  </si>
  <si>
    <t>200//10</t>
  </si>
  <si>
    <t xml:space="preserve">Компот из смеси сухофруктов     С- витаминизированный </t>
  </si>
  <si>
    <t>Компот из быстрозамороженных ягод  (компотная смесь)</t>
  </si>
  <si>
    <t>200//4</t>
  </si>
  <si>
    <t>Плов  с  птицей</t>
  </si>
  <si>
    <t xml:space="preserve">Рис отварной с маслом сливочным </t>
  </si>
  <si>
    <t xml:space="preserve">Жаркое по- домашнему </t>
  </si>
  <si>
    <t>Кофейный напиток на молоке</t>
  </si>
  <si>
    <t>Хлеб пшеничный</t>
  </si>
  <si>
    <t>Салат из свеклы с маслом растительным</t>
  </si>
  <si>
    <t xml:space="preserve">Рацион: Школа </t>
  </si>
  <si>
    <t>Рацион: Школа</t>
  </si>
  <si>
    <t>7-11 лет</t>
  </si>
  <si>
    <t>В2</t>
  </si>
  <si>
    <t>ZN</t>
  </si>
  <si>
    <t>I</t>
  </si>
  <si>
    <t xml:space="preserve">I </t>
  </si>
  <si>
    <t>80/20</t>
  </si>
  <si>
    <t>Итого в день</t>
  </si>
  <si>
    <t>% от суточной нормы</t>
  </si>
  <si>
    <t>суточная норма</t>
  </si>
  <si>
    <t>Щи из свежей капусты с фрикаделькой из птицы "Детская"</t>
  </si>
  <si>
    <t>Чай  с сахаром</t>
  </si>
  <si>
    <t xml:space="preserve">Каша гречневая молочная с маслом сливочным </t>
  </si>
  <si>
    <t>Каша "Дружба" с маслом сливочным</t>
  </si>
  <si>
    <t>Фрукт порционно / Яблоко 1шт</t>
  </si>
  <si>
    <t>Фрукт порционно / Апельсин 1 шт</t>
  </si>
  <si>
    <t xml:space="preserve">Холодная закуска: Овощи порционно / Огурец </t>
  </si>
  <si>
    <t>осенне-весенний</t>
  </si>
  <si>
    <t>осенне- весенний</t>
  </si>
  <si>
    <t xml:space="preserve">Пудинг творожно-пшенный с сахарной пудрой   </t>
  </si>
  <si>
    <t>Приложение 8 к СанПиН 2.3/2.4.3590-20</t>
  </si>
  <si>
    <t>ПР</t>
  </si>
  <si>
    <t>Фрукт порционно / Груша 1шт</t>
  </si>
  <si>
    <t xml:space="preserve">Рыба, запеченная под соусом </t>
  </si>
  <si>
    <t xml:space="preserve">Птица, порционная  запеченая </t>
  </si>
  <si>
    <t xml:space="preserve">Компот из свежих яблок и лимона </t>
  </si>
  <si>
    <t xml:space="preserve">Салат из  свежих помидоров и огурцов с растительным маслом </t>
  </si>
  <si>
    <t>ПРИМЕЧАНИЕ: * замена на осенний период</t>
  </si>
  <si>
    <t>*Итого за Обед (осенний период)</t>
  </si>
  <si>
    <t>*Итого за Завтрак (осенний период)</t>
  </si>
  <si>
    <t>Сыр твердо-мягкий порционно с м.д.ж. 45%</t>
  </si>
  <si>
    <t>Борщ "Сибирский" с фасолью</t>
  </si>
  <si>
    <t>Макаронные изделия отварные с маслом сливочным</t>
  </si>
  <si>
    <t>Зеленый горошек</t>
  </si>
  <si>
    <t>Салат из свеклы с сыром и маслом растительным</t>
  </si>
  <si>
    <t>200/30</t>
  </si>
  <si>
    <t>Котлета "Куриная"</t>
  </si>
  <si>
    <t>Винегрет овощной</t>
  </si>
  <si>
    <t>Фрукт порционно: Банан</t>
  </si>
  <si>
    <t>Суп картофельный с рыбными фрикадельками</t>
  </si>
  <si>
    <t>№ рец. по сборнику</t>
  </si>
  <si>
    <t>Салат из капусты с огурцом</t>
  </si>
  <si>
    <t>* 29 ОП</t>
  </si>
  <si>
    <t>ПРИМЕЧАНИЕ  ** могут быть использованы нектары,морсы, напитки сокосодержащие (в т.ч. обогащенные)</t>
  </si>
  <si>
    <t>Сок фруктовый**</t>
  </si>
  <si>
    <t>Салат из белокачанной капусты с морковью</t>
  </si>
  <si>
    <t>Котлета "Говяжья Школьная" запеченная (в соответствии с ГОСТ Р 55366-2012)</t>
  </si>
  <si>
    <t>Рассольник "Ленинградский" на бульоне</t>
  </si>
  <si>
    <t>Фрикадельки "Детские" запеченные под соусом молочным (в соответствии с ГОСТ Р 55366-2012)</t>
  </si>
  <si>
    <t xml:space="preserve">Какао с молоком </t>
  </si>
  <si>
    <t>Чай с сахаром</t>
  </si>
  <si>
    <t>Батон</t>
  </si>
  <si>
    <t>Курица отварная</t>
  </si>
  <si>
    <t>Молоко</t>
  </si>
  <si>
    <t>Суп картофельный с горохом</t>
  </si>
  <si>
    <t>Суп молочный с вермишелью</t>
  </si>
  <si>
    <t xml:space="preserve">Суп с макаронными изделиями с мясом </t>
  </si>
  <si>
    <t>Суп картофельный с рисом</t>
  </si>
  <si>
    <t>Сырники с соусом сметанным</t>
  </si>
  <si>
    <t>Салат из свежей капусты с морковью</t>
  </si>
  <si>
    <t>Ленивые вареники со сметанным соусом</t>
  </si>
  <si>
    <t>Батон с маслом сливочным</t>
  </si>
  <si>
    <t xml:space="preserve">Борщ со свежей капустой и картофелем </t>
  </si>
  <si>
    <t>завтрак молочный</t>
  </si>
  <si>
    <t>Макароны с сыром и маслом сливочным</t>
  </si>
  <si>
    <t>Фрикадельки куриные с соусом томатным</t>
  </si>
  <si>
    <t xml:space="preserve">Батон </t>
  </si>
  <si>
    <t>Йогурт питьевой</t>
  </si>
  <si>
    <t>Суп картофельный с рыбными консервами</t>
  </si>
  <si>
    <t>Компот из сухофруктов</t>
  </si>
  <si>
    <t>Молоко 3,2%</t>
  </si>
  <si>
    <t>Яйцо отварное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</si>
</sst>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48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1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left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indent="1"/>
    </xf>
    <xf numFmtId="0" fontId="3" fillId="33" borderId="11" xfId="0" applyNumberFormat="1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182" fontId="0" fillId="33" borderId="11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Alignment="1">
      <alignment/>
    </xf>
    <xf numFmtId="1" fontId="0" fillId="33" borderId="12" xfId="0" applyNumberFormat="1" applyFont="1" applyFill="1" applyBorder="1" applyAlignment="1">
      <alignment horizontal="center"/>
    </xf>
    <xf numFmtId="182" fontId="3" fillId="33" borderId="12" xfId="0" applyNumberFormat="1" applyFont="1" applyFill="1" applyBorder="1" applyAlignment="1">
      <alignment horizontal="center" vertical="top"/>
    </xf>
    <xf numFmtId="2" fontId="3" fillId="33" borderId="12" xfId="0" applyNumberFormat="1" applyFont="1" applyFill="1" applyBorder="1" applyAlignment="1">
      <alignment horizontal="center" vertical="top"/>
    </xf>
    <xf numFmtId="184" fontId="3" fillId="33" borderId="12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193" fontId="3" fillId="33" borderId="12" xfId="0" applyNumberFormat="1" applyFont="1" applyFill="1" applyBorder="1" applyAlignment="1">
      <alignment horizontal="center" vertical="top"/>
    </xf>
    <xf numFmtId="9" fontId="3" fillId="33" borderId="12" xfId="0" applyNumberFormat="1" applyFont="1" applyFill="1" applyBorder="1" applyAlignment="1">
      <alignment horizontal="center" vertical="top"/>
    </xf>
    <xf numFmtId="9" fontId="3" fillId="33" borderId="10" xfId="0" applyNumberFormat="1" applyFont="1" applyFill="1" applyBorder="1" applyAlignment="1">
      <alignment horizontal="center" vertical="top"/>
    </xf>
    <xf numFmtId="9" fontId="3" fillId="33" borderId="11" xfId="0" applyNumberFormat="1" applyFont="1" applyFill="1" applyBorder="1" applyAlignment="1">
      <alignment horizontal="center" vertical="top"/>
    </xf>
    <xf numFmtId="182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1" fontId="3" fillId="33" borderId="12" xfId="0" applyNumberFormat="1" applyFont="1" applyFill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center" vertical="top"/>
    </xf>
    <xf numFmtId="193" fontId="3" fillId="33" borderId="10" xfId="0" applyNumberFormat="1" applyFont="1" applyFill="1" applyBorder="1" applyAlignment="1">
      <alignment horizontal="center" vertical="top"/>
    </xf>
    <xf numFmtId="193" fontId="3" fillId="33" borderId="11" xfId="0" applyNumberFormat="1" applyFont="1" applyFill="1" applyBorder="1" applyAlignment="1">
      <alignment horizontal="center" vertical="top"/>
    </xf>
    <xf numFmtId="182" fontId="0" fillId="33" borderId="10" xfId="0" applyNumberFormat="1" applyFont="1" applyFill="1" applyBorder="1" applyAlignment="1">
      <alignment horizontal="center" vertical="top"/>
    </xf>
    <xf numFmtId="182" fontId="0" fillId="33" borderId="0" xfId="60" applyNumberFormat="1" applyFont="1" applyFill="1">
      <alignment/>
      <protection/>
    </xf>
    <xf numFmtId="182" fontId="0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85" fontId="0" fillId="33" borderId="12" xfId="0" applyNumberFormat="1" applyFont="1" applyFill="1" applyBorder="1" applyAlignment="1">
      <alignment horizontal="center" vertical="top"/>
    </xf>
    <xf numFmtId="10" fontId="3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top" wrapText="1"/>
    </xf>
    <xf numFmtId="2" fontId="0" fillId="33" borderId="12" xfId="0" applyNumberFormat="1" applyFont="1" applyFill="1" applyBorder="1" applyAlignment="1">
      <alignment horizontal="center" vertical="top" wrapText="1"/>
    </xf>
    <xf numFmtId="184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 indent="1"/>
    </xf>
    <xf numFmtId="182" fontId="6" fillId="33" borderId="12" xfId="0" applyNumberFormat="1" applyFont="1" applyFill="1" applyBorder="1" applyAlignment="1">
      <alignment horizontal="right" vertical="center" indent="1"/>
    </xf>
    <xf numFmtId="184" fontId="6" fillId="33" borderId="12" xfId="0" applyNumberFormat="1" applyFont="1" applyFill="1" applyBorder="1" applyAlignment="1">
      <alignment horizontal="right" vertical="center" indent="1"/>
    </xf>
    <xf numFmtId="2" fontId="6" fillId="33" borderId="12" xfId="0" applyNumberFormat="1" applyFont="1" applyFill="1" applyBorder="1" applyAlignment="1">
      <alignment horizontal="right" vertical="center" indent="1"/>
    </xf>
    <xf numFmtId="2" fontId="6" fillId="33" borderId="12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right" vertical="center" indent="1"/>
    </xf>
    <xf numFmtId="182" fontId="0" fillId="33" borderId="12" xfId="0" applyNumberFormat="1" applyFont="1" applyFill="1" applyBorder="1" applyAlignment="1">
      <alignment horizontal="right" vertical="center" indent="1"/>
    </xf>
    <xf numFmtId="2" fontId="3" fillId="33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 vertical="center"/>
    </xf>
    <xf numFmtId="2" fontId="0" fillId="33" borderId="0" xfId="0" applyNumberFormat="1" applyFill="1" applyAlignment="1">
      <alignment horizontal="left"/>
    </xf>
    <xf numFmtId="10" fontId="3" fillId="33" borderId="15" xfId="0" applyNumberFormat="1" applyFont="1" applyFill="1" applyBorder="1" applyAlignment="1">
      <alignment horizontal="center" vertical="top"/>
    </xf>
    <xf numFmtId="1" fontId="3" fillId="33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wrapText="1"/>
    </xf>
    <xf numFmtId="3" fontId="0" fillId="33" borderId="12" xfId="0" applyNumberFormat="1" applyFont="1" applyFill="1" applyBorder="1" applyAlignment="1">
      <alignment horizontal="center" vertical="center"/>
    </xf>
    <xf numFmtId="10" fontId="3" fillId="33" borderId="12" xfId="57" applyNumberFormat="1" applyFont="1" applyFill="1" applyBorder="1">
      <alignment/>
      <protection/>
    </xf>
    <xf numFmtId="193" fontId="3" fillId="33" borderId="12" xfId="57" applyNumberFormat="1" applyFont="1" applyFill="1" applyBorder="1">
      <alignment/>
      <protection/>
    </xf>
    <xf numFmtId="2" fontId="3" fillId="33" borderId="12" xfId="57" applyNumberFormat="1" applyFont="1" applyFill="1" applyBorder="1">
      <alignment/>
      <protection/>
    </xf>
    <xf numFmtId="10" fontId="3" fillId="33" borderId="0" xfId="57" applyNumberFormat="1" applyFont="1" applyFill="1">
      <alignment/>
      <protection/>
    </xf>
    <xf numFmtId="193" fontId="3" fillId="33" borderId="13" xfId="57" applyNumberFormat="1" applyFont="1" applyFill="1" applyBorder="1">
      <alignment/>
      <protection/>
    </xf>
    <xf numFmtId="193" fontId="3" fillId="33" borderId="0" xfId="57" applyNumberFormat="1" applyFont="1" applyFill="1">
      <alignment/>
      <protection/>
    </xf>
    <xf numFmtId="0" fontId="8" fillId="33" borderId="0" xfId="0" applyFont="1" applyFill="1" applyAlignment="1">
      <alignment horizontal="left" vertical="center" wrapText="1"/>
    </xf>
    <xf numFmtId="0" fontId="3" fillId="33" borderId="16" xfId="0" applyFont="1" applyFill="1" applyBorder="1" applyAlignment="1">
      <alignment horizontal="left" indent="1"/>
    </xf>
    <xf numFmtId="0" fontId="0" fillId="33" borderId="0" xfId="0" applyNumberFormat="1" applyFont="1" applyFill="1" applyAlignment="1">
      <alignment horizontal="right"/>
    </xf>
    <xf numFmtId="1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top" wrapText="1"/>
    </xf>
    <xf numFmtId="193" fontId="3" fillId="33" borderId="12" xfId="57" applyNumberFormat="1" applyFont="1" applyFill="1" applyBorder="1" applyAlignment="1">
      <alignment vertical="top"/>
      <protection/>
    </xf>
    <xf numFmtId="0" fontId="6" fillId="33" borderId="12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left" indent="1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left" indent="1"/>
    </xf>
    <xf numFmtId="2" fontId="3" fillId="33" borderId="15" xfId="0" applyNumberFormat="1" applyFont="1" applyFill="1" applyBorder="1" applyAlignment="1">
      <alignment horizontal="left" indent="1"/>
    </xf>
    <xf numFmtId="2" fontId="3" fillId="33" borderId="16" xfId="0" applyNumberFormat="1" applyFont="1" applyFill="1" applyBorder="1" applyAlignment="1">
      <alignment horizontal="left" indent="1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9" fillId="33" borderId="14" xfId="0" applyNumberFormat="1" applyFont="1" applyFill="1" applyBorder="1" applyAlignment="1">
      <alignment horizontal="left" vertical="center" wrapText="1"/>
    </xf>
    <xf numFmtId="0" fontId="9" fillId="33" borderId="16" xfId="0" applyNumberFormat="1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1" fontId="0" fillId="33" borderId="14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left" indent="1"/>
    </xf>
    <xf numFmtId="2" fontId="3" fillId="33" borderId="15" xfId="0" applyNumberFormat="1" applyFont="1" applyFill="1" applyBorder="1" applyAlignment="1">
      <alignment horizontal="left" indent="1"/>
    </xf>
    <xf numFmtId="2" fontId="3" fillId="33" borderId="16" xfId="0" applyNumberFormat="1" applyFont="1" applyFill="1" applyBorder="1" applyAlignment="1">
      <alignment horizontal="left" indent="1"/>
    </xf>
    <xf numFmtId="0" fontId="3" fillId="33" borderId="14" xfId="0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left" inden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center"/>
    </xf>
    <xf numFmtId="0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top" wrapText="1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2" fontId="0" fillId="33" borderId="14" xfId="0" applyNumberFormat="1" applyFont="1" applyFill="1" applyBorder="1" applyAlignment="1">
      <alignment horizontal="left" vertical="center" wrapText="1"/>
    </xf>
    <xf numFmtId="2" fontId="0" fillId="33" borderId="16" xfId="0" applyNumberFormat="1" applyFont="1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left" vertical="center" wrapText="1"/>
    </xf>
    <xf numFmtId="0" fontId="0" fillId="33" borderId="20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left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indent="1"/>
    </xf>
    <xf numFmtId="0" fontId="0" fillId="33" borderId="11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7" xfId="0" applyNumberFormat="1" applyFont="1" applyFill="1" applyBorder="1" applyAlignment="1">
      <alignment horizontal="center" wrapText="1"/>
    </xf>
    <xf numFmtId="0" fontId="0" fillId="33" borderId="17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&#1050;&#1086;&#1084;&#1087;&#1072;&#1085;&#1080;&#1103;%20&#1040;&#1051;&#1068;&#1058;&#1045;&#1056;&#1053;&#1040;&#1058;&#1048;&#1042;&#1040;%20(7-11)%20&#8212;%20&#1053;&#1072;&#1089;&#1090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08">
          <cell r="A308" t="str">
            <v>Итого за Завтрак мясной</v>
          </cell>
        </row>
        <row r="309">
          <cell r="A309" t="str">
            <v>Завтрак молочный</v>
          </cell>
        </row>
        <row r="315">
          <cell r="A315" t="str">
            <v>Обед (полноценный рацион питания)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316"/>
  <sheetViews>
    <sheetView tabSelected="1" zoomScale="90" zoomScaleNormal="90" workbookViewId="0" topLeftCell="A236">
      <selection activeCell="S97" sqref="S97"/>
    </sheetView>
  </sheetViews>
  <sheetFormatPr defaultColWidth="10.66015625" defaultRowHeight="11.25"/>
  <cols>
    <col min="1" max="1" width="9.5" style="58" customWidth="1"/>
    <col min="2" max="2" width="16.33203125" style="58" customWidth="1"/>
    <col min="3" max="3" width="25.16015625" style="58" customWidth="1"/>
    <col min="4" max="4" width="7.66015625" style="5" customWidth="1"/>
    <col min="5" max="5" width="8.66015625" style="108" customWidth="1"/>
    <col min="6" max="6" width="8.16015625" style="5" customWidth="1"/>
    <col min="7" max="7" width="8.83203125" style="5" customWidth="1"/>
    <col min="8" max="8" width="9.33203125" style="5" customWidth="1"/>
    <col min="9" max="9" width="8.83203125" style="5" customWidth="1"/>
    <col min="10" max="10" width="8.33203125" style="5" customWidth="1"/>
    <col min="11" max="11" width="7.83203125" style="5" customWidth="1"/>
    <col min="12" max="12" width="9" style="5" customWidth="1"/>
    <col min="13" max="13" width="9.5" style="5" customWidth="1"/>
    <col min="14" max="14" width="9.33203125" style="5" customWidth="1"/>
    <col min="15" max="16" width="9.16015625" style="5" customWidth="1"/>
    <col min="17" max="17" width="9" style="5" customWidth="1"/>
    <col min="18" max="18" width="9.5" style="5" customWidth="1"/>
    <col min="19" max="19" width="8.66015625" style="5" customWidth="1"/>
    <col min="20" max="20" width="9.16015625" style="18" customWidth="1"/>
    <col min="21" max="22" width="9.16015625" style="27" customWidth="1"/>
    <col min="23" max="23" width="11.66015625" style="27" customWidth="1"/>
  </cols>
  <sheetData>
    <row r="1" spans="1:23" s="1" customFormat="1" ht="11.25" customHeight="1">
      <c r="A1" s="59"/>
      <c r="B1" s="56"/>
      <c r="C1" s="56"/>
      <c r="D1" s="72"/>
      <c r="E1" s="35"/>
      <c r="F1" s="72"/>
      <c r="G1" s="72"/>
      <c r="H1" s="72"/>
      <c r="I1" s="72"/>
      <c r="J1" s="72"/>
      <c r="K1" s="2"/>
      <c r="L1" s="174" t="s">
        <v>80</v>
      </c>
      <c r="M1" s="174"/>
      <c r="N1" s="174"/>
      <c r="O1" s="174"/>
      <c r="P1" s="174"/>
      <c r="Q1" s="174"/>
      <c r="R1" s="174"/>
      <c r="S1" s="174"/>
      <c r="T1" s="194"/>
      <c r="U1" s="192"/>
      <c r="V1" s="118"/>
      <c r="W1" s="192"/>
    </row>
    <row r="2" spans="1:23" s="1" customFormat="1" ht="15.75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5"/>
      <c r="U2" s="192"/>
      <c r="V2" s="118"/>
      <c r="W2" s="192"/>
    </row>
    <row r="3" spans="1:23" s="1" customFormat="1" ht="11.25" customHeight="1">
      <c r="A3" s="60" t="s">
        <v>59</v>
      </c>
      <c r="B3" s="56"/>
      <c r="C3" s="56"/>
      <c r="D3" s="2"/>
      <c r="E3" s="35"/>
      <c r="F3" s="175" t="s">
        <v>1</v>
      </c>
      <c r="G3" s="175"/>
      <c r="H3" s="175"/>
      <c r="I3" s="72"/>
      <c r="J3" s="72"/>
      <c r="K3" s="171" t="s">
        <v>2</v>
      </c>
      <c r="L3" s="171"/>
      <c r="M3" s="168" t="s">
        <v>77</v>
      </c>
      <c r="N3" s="168"/>
      <c r="O3" s="168"/>
      <c r="P3" s="168"/>
      <c r="Q3" s="72"/>
      <c r="R3" s="72"/>
      <c r="S3" s="72"/>
      <c r="T3" s="195"/>
      <c r="U3" s="192"/>
      <c r="V3" s="118"/>
      <c r="W3" s="192"/>
    </row>
    <row r="4" spans="1:23" s="1" customFormat="1" ht="11.25" customHeight="1">
      <c r="A4" s="56" t="s">
        <v>87</v>
      </c>
      <c r="B4" s="56"/>
      <c r="C4" s="56"/>
      <c r="D4" s="171" t="s">
        <v>3</v>
      </c>
      <c r="E4" s="171"/>
      <c r="F4" s="7">
        <v>1</v>
      </c>
      <c r="G4" s="72"/>
      <c r="H4" s="2"/>
      <c r="I4" s="2"/>
      <c r="J4" s="2"/>
      <c r="K4" s="171" t="s">
        <v>4</v>
      </c>
      <c r="L4" s="171"/>
      <c r="M4" s="175" t="s">
        <v>61</v>
      </c>
      <c r="N4" s="175"/>
      <c r="O4" s="175"/>
      <c r="P4" s="175"/>
      <c r="Q4" s="175"/>
      <c r="R4" s="175"/>
      <c r="S4" s="175"/>
      <c r="T4" s="196"/>
      <c r="U4" s="197"/>
      <c r="V4" s="118"/>
      <c r="W4" s="192"/>
    </row>
    <row r="5" spans="1:23" s="1" customFormat="1" ht="21.75" customHeight="1">
      <c r="A5" s="169" t="s">
        <v>100</v>
      </c>
      <c r="B5" s="169" t="s">
        <v>6</v>
      </c>
      <c r="C5" s="169"/>
      <c r="D5" s="169" t="s">
        <v>7</v>
      </c>
      <c r="E5" s="176" t="s">
        <v>8</v>
      </c>
      <c r="F5" s="176"/>
      <c r="G5" s="176"/>
      <c r="H5" s="169" t="s">
        <v>9</v>
      </c>
      <c r="I5" s="176" t="s">
        <v>10</v>
      </c>
      <c r="J5" s="176"/>
      <c r="K5" s="176"/>
      <c r="L5" s="176"/>
      <c r="M5" s="176"/>
      <c r="N5" s="176" t="s">
        <v>11</v>
      </c>
      <c r="O5" s="176"/>
      <c r="P5" s="176"/>
      <c r="Q5" s="176"/>
      <c r="R5" s="176"/>
      <c r="S5" s="176"/>
      <c r="T5" s="9"/>
      <c r="U5" s="22"/>
      <c r="V5" s="22"/>
      <c r="W5" s="22"/>
    </row>
    <row r="6" spans="1:23" s="1" customFormat="1" ht="21" customHeight="1">
      <c r="A6" s="170"/>
      <c r="B6" s="172"/>
      <c r="C6" s="173"/>
      <c r="D6" s="170"/>
      <c r="E6" s="103" t="s">
        <v>12</v>
      </c>
      <c r="F6" s="117" t="s">
        <v>13</v>
      </c>
      <c r="G6" s="117" t="s">
        <v>14</v>
      </c>
      <c r="H6" s="170"/>
      <c r="I6" s="117" t="s">
        <v>15</v>
      </c>
      <c r="J6" s="117" t="s">
        <v>62</v>
      </c>
      <c r="K6" s="117" t="s">
        <v>16</v>
      </c>
      <c r="L6" s="117" t="s">
        <v>17</v>
      </c>
      <c r="M6" s="117" t="s">
        <v>18</v>
      </c>
      <c r="N6" s="117" t="s">
        <v>19</v>
      </c>
      <c r="O6" s="117" t="s">
        <v>20</v>
      </c>
      <c r="P6" s="117" t="s">
        <v>63</v>
      </c>
      <c r="Q6" s="117" t="s">
        <v>64</v>
      </c>
      <c r="R6" s="117" t="s">
        <v>21</v>
      </c>
      <c r="S6" s="117" t="s">
        <v>22</v>
      </c>
      <c r="T6" s="9"/>
      <c r="U6" s="22"/>
      <c r="V6" s="22"/>
      <c r="W6" s="22"/>
    </row>
    <row r="7" spans="1:23" s="1" customFormat="1" ht="11.25" customHeight="1">
      <c r="A7" s="114">
        <v>1</v>
      </c>
      <c r="B7" s="183">
        <v>2</v>
      </c>
      <c r="C7" s="183"/>
      <c r="D7" s="36">
        <v>3</v>
      </c>
      <c r="E7" s="104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10"/>
      <c r="U7" s="23"/>
      <c r="V7" s="23"/>
      <c r="W7" s="23"/>
    </row>
    <row r="8" spans="1:23" s="1" customFormat="1" ht="11.25" customHeight="1">
      <c r="A8" s="191" t="s">
        <v>26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1"/>
      <c r="U8" s="24"/>
      <c r="V8" s="24"/>
      <c r="W8" s="24"/>
    </row>
    <row r="9" spans="1:23" s="3" customFormat="1" ht="27" customHeight="1">
      <c r="A9" s="68">
        <v>71</v>
      </c>
      <c r="B9" s="148" t="s">
        <v>76</v>
      </c>
      <c r="C9" s="149"/>
      <c r="D9" s="81">
        <v>40</v>
      </c>
      <c r="E9" s="130">
        <f>0.5*D9/60</f>
        <v>0.3333333333333333</v>
      </c>
      <c r="F9" s="130">
        <f>0.03*D9/30</f>
        <v>0.04</v>
      </c>
      <c r="G9" s="130">
        <f>1.7*D9/60</f>
        <v>1.1333333333333333</v>
      </c>
      <c r="H9" s="130">
        <f>E9*4+F9*9+G9*4</f>
        <v>6.226666666666667</v>
      </c>
      <c r="I9" s="83">
        <v>0.009</v>
      </c>
      <c r="J9" s="130">
        <v>0.01</v>
      </c>
      <c r="K9" s="84">
        <v>3</v>
      </c>
      <c r="L9" s="83">
        <v>0.003</v>
      </c>
      <c r="M9" s="81">
        <v>0.03</v>
      </c>
      <c r="N9" s="130">
        <v>6.9</v>
      </c>
      <c r="O9" s="130">
        <v>12.6</v>
      </c>
      <c r="P9" s="83">
        <v>0.064</v>
      </c>
      <c r="Q9" s="83">
        <v>0.001</v>
      </c>
      <c r="R9" s="130">
        <v>4.2</v>
      </c>
      <c r="S9" s="130">
        <v>0.18</v>
      </c>
      <c r="T9" s="75"/>
      <c r="U9" s="28"/>
      <c r="V9" s="28"/>
      <c r="W9" s="29"/>
    </row>
    <row r="10" spans="1:23" s="3" customFormat="1" ht="21.75" customHeight="1">
      <c r="A10" s="119">
        <v>15</v>
      </c>
      <c r="B10" s="148" t="s">
        <v>90</v>
      </c>
      <c r="C10" s="149"/>
      <c r="D10" s="71">
        <v>20</v>
      </c>
      <c r="E10" s="73">
        <f>2.32*D10/10</f>
        <v>4.64</v>
      </c>
      <c r="F10" s="73">
        <f>3.4*D10/10</f>
        <v>6.8</v>
      </c>
      <c r="G10" s="73">
        <f>0.01*D10/10</f>
        <v>0.02</v>
      </c>
      <c r="H10" s="73">
        <f>E10*4+F10*9+G10*4</f>
        <v>79.83999999999999</v>
      </c>
      <c r="I10" s="73">
        <f>0.004*D10/10</f>
        <v>0.008</v>
      </c>
      <c r="J10" s="73">
        <f>0.03*D10/10</f>
        <v>0.06</v>
      </c>
      <c r="K10" s="73">
        <f>0.07*D10/10</f>
        <v>0.14</v>
      </c>
      <c r="L10" s="74">
        <f>0.023*D10/10</f>
        <v>0.046</v>
      </c>
      <c r="M10" s="73">
        <f>0.05*D10/10</f>
        <v>0.1</v>
      </c>
      <c r="N10" s="73">
        <f>88*D10/10</f>
        <v>176</v>
      </c>
      <c r="O10" s="73">
        <f>50*D10/10</f>
        <v>100</v>
      </c>
      <c r="P10" s="73">
        <f>0.4*D10/10</f>
        <v>0.8</v>
      </c>
      <c r="Q10" s="74">
        <f>0.02*D10/10</f>
        <v>0.04</v>
      </c>
      <c r="R10" s="73">
        <f>3.5*D10/10</f>
        <v>7</v>
      </c>
      <c r="S10" s="73">
        <f>0.13*D10/10</f>
        <v>0.26</v>
      </c>
      <c r="T10" s="75"/>
      <c r="U10" s="177"/>
      <c r="V10" s="177"/>
      <c r="W10" s="177"/>
    </row>
    <row r="11" spans="1:23" s="3" customFormat="1" ht="12.75" customHeight="1">
      <c r="A11" s="129">
        <v>210</v>
      </c>
      <c r="B11" s="148" t="s">
        <v>48</v>
      </c>
      <c r="C11" s="149"/>
      <c r="D11" s="71">
        <v>200</v>
      </c>
      <c r="E11" s="73">
        <v>16.29</v>
      </c>
      <c r="F11" s="73">
        <v>18.99</v>
      </c>
      <c r="G11" s="73">
        <v>5.04</v>
      </c>
      <c r="H11" s="73">
        <f>E11*4+F11*9+G11*4</f>
        <v>256.23</v>
      </c>
      <c r="I11" s="73">
        <v>0.117</v>
      </c>
      <c r="J11" s="73">
        <v>0.27</v>
      </c>
      <c r="K11" s="73">
        <v>0.324</v>
      </c>
      <c r="L11" s="73">
        <v>0.036</v>
      </c>
      <c r="M11" s="69">
        <v>1.94</v>
      </c>
      <c r="N11" s="73">
        <v>131.38</v>
      </c>
      <c r="O11" s="73">
        <v>248.5</v>
      </c>
      <c r="P11" s="73">
        <v>1.35</v>
      </c>
      <c r="Q11" s="73">
        <v>0.03</v>
      </c>
      <c r="R11" s="73">
        <v>21.55</v>
      </c>
      <c r="S11" s="73">
        <v>1.51</v>
      </c>
      <c r="T11" s="75"/>
      <c r="U11" s="177"/>
      <c r="V11" s="177"/>
      <c r="W11" s="177"/>
    </row>
    <row r="12" spans="1:23" s="1" customFormat="1" ht="11.25" customHeight="1">
      <c r="A12" s="114">
        <v>382</v>
      </c>
      <c r="B12" s="148" t="s">
        <v>110</v>
      </c>
      <c r="C12" s="149"/>
      <c r="D12" s="71">
        <v>200</v>
      </c>
      <c r="E12" s="73">
        <f>3.5*D12/200</f>
        <v>3.5</v>
      </c>
      <c r="F12" s="73">
        <f>3.7*D12/200</f>
        <v>3.7</v>
      </c>
      <c r="G12" s="73">
        <f>25.5*D12/200</f>
        <v>25.5</v>
      </c>
      <c r="H12" s="73">
        <f>E12*4+F12*9+G12*4</f>
        <v>149.3</v>
      </c>
      <c r="I12" s="73">
        <f>0.06*D12/200</f>
        <v>0.06</v>
      </c>
      <c r="J12" s="73">
        <f>0.006*D12/200</f>
        <v>0.006</v>
      </c>
      <c r="K12" s="73">
        <f>1.6*D12/200</f>
        <v>1.6</v>
      </c>
      <c r="L12" s="74">
        <f>0.04*D12/200</f>
        <v>0.04</v>
      </c>
      <c r="M12" s="73">
        <f>0.4*D12/200</f>
        <v>0.4</v>
      </c>
      <c r="N12" s="73">
        <f>102.6*D12/200</f>
        <v>102.6</v>
      </c>
      <c r="O12" s="73">
        <f>178.4*D12/200</f>
        <v>178.4</v>
      </c>
      <c r="P12" s="73">
        <f>1*D12/200</f>
        <v>1</v>
      </c>
      <c r="Q12" s="74">
        <f>0.001*D12/200</f>
        <v>0.001</v>
      </c>
      <c r="R12" s="73">
        <f>24.8*D12/200</f>
        <v>24.8</v>
      </c>
      <c r="S12" s="73">
        <f>0.48*D12/200</f>
        <v>0.48</v>
      </c>
      <c r="T12" s="37"/>
      <c r="U12" s="78"/>
      <c r="V12" s="78"/>
      <c r="W12" s="78"/>
    </row>
    <row r="13" spans="1:23" s="1" customFormat="1" ht="11.25" customHeight="1">
      <c r="A13" s="79" t="s">
        <v>81</v>
      </c>
      <c r="B13" s="148" t="s">
        <v>111</v>
      </c>
      <c r="C13" s="149"/>
      <c r="D13" s="71">
        <v>40</v>
      </c>
      <c r="E13" s="73">
        <f>1.52*D13/30</f>
        <v>2.0266666666666664</v>
      </c>
      <c r="F13" s="74">
        <f>0.16*D13/30</f>
        <v>0.21333333333333335</v>
      </c>
      <c r="G13" s="74">
        <f>9.84*D13/30</f>
        <v>13.120000000000001</v>
      </c>
      <c r="H13" s="74">
        <f>E13*4+F13*9+G13*4</f>
        <v>62.50666666666667</v>
      </c>
      <c r="I13" s="74">
        <f>0.02*D13/30</f>
        <v>0.02666666666666667</v>
      </c>
      <c r="J13" s="74">
        <f>0.01*D13/30</f>
        <v>0.013333333333333334</v>
      </c>
      <c r="K13" s="74">
        <f>0.44*D13/30</f>
        <v>0.5866666666666667</v>
      </c>
      <c r="L13" s="74">
        <v>0</v>
      </c>
      <c r="M13" s="74">
        <f>0.7*D13/30</f>
        <v>0.9333333333333333</v>
      </c>
      <c r="N13" s="74">
        <f>4*D13/30</f>
        <v>5.333333333333333</v>
      </c>
      <c r="O13" s="74">
        <f>13*D13/30</f>
        <v>17.333333333333332</v>
      </c>
      <c r="P13" s="74">
        <f>0.008*D13/30</f>
        <v>0.010666666666666666</v>
      </c>
      <c r="Q13" s="74">
        <f>0.001*D13/30</f>
        <v>0.0013333333333333333</v>
      </c>
      <c r="R13" s="74">
        <v>0</v>
      </c>
      <c r="S13" s="74">
        <f>0.22*D13/30</f>
        <v>0.29333333333333333</v>
      </c>
      <c r="T13" s="48"/>
      <c r="U13" s="47"/>
      <c r="V13" s="47"/>
      <c r="W13" s="47"/>
    </row>
    <row r="14" spans="1:23" s="1" customFormat="1" ht="11.25" customHeight="1">
      <c r="A14" s="61" t="s">
        <v>27</v>
      </c>
      <c r="B14" s="61"/>
      <c r="C14" s="61"/>
      <c r="D14" s="66">
        <f aca="true" t="shared" si="0" ref="D14:S14">SUM(D10:D13)</f>
        <v>460</v>
      </c>
      <c r="E14" s="38">
        <f t="shared" si="0"/>
        <v>26.456666666666667</v>
      </c>
      <c r="F14" s="37">
        <f t="shared" si="0"/>
        <v>29.703333333333333</v>
      </c>
      <c r="G14" s="37">
        <f t="shared" si="0"/>
        <v>43.68</v>
      </c>
      <c r="H14" s="37">
        <f t="shared" si="0"/>
        <v>547.8766666666667</v>
      </c>
      <c r="I14" s="38">
        <f t="shared" si="0"/>
        <v>0.21166666666666667</v>
      </c>
      <c r="J14" s="38">
        <f t="shared" si="0"/>
        <v>0.34933333333333333</v>
      </c>
      <c r="K14" s="38">
        <f t="shared" si="0"/>
        <v>2.650666666666667</v>
      </c>
      <c r="L14" s="38">
        <f t="shared" si="0"/>
        <v>0.122</v>
      </c>
      <c r="M14" s="38">
        <f t="shared" si="0"/>
        <v>3.373333333333333</v>
      </c>
      <c r="N14" s="38">
        <f t="shared" si="0"/>
        <v>415.31333333333333</v>
      </c>
      <c r="O14" s="38">
        <f t="shared" si="0"/>
        <v>544.2333333333333</v>
      </c>
      <c r="P14" s="38">
        <f t="shared" si="0"/>
        <v>3.160666666666667</v>
      </c>
      <c r="Q14" s="39">
        <f t="shared" si="0"/>
        <v>0.07233333333333335</v>
      </c>
      <c r="R14" s="38">
        <f t="shared" si="0"/>
        <v>53.35</v>
      </c>
      <c r="S14" s="38">
        <f t="shared" si="0"/>
        <v>2.5433333333333334</v>
      </c>
      <c r="T14" s="48"/>
      <c r="U14" s="47"/>
      <c r="V14" s="47"/>
      <c r="W14" s="47"/>
    </row>
    <row r="15" spans="1:23" s="1" customFormat="1" ht="11.25" customHeight="1">
      <c r="A15" s="154" t="s">
        <v>68</v>
      </c>
      <c r="B15" s="155"/>
      <c r="C15" s="155"/>
      <c r="D15" s="156"/>
      <c r="E15" s="120">
        <f aca="true" t="shared" si="1" ref="E15:L15">E14/E34</f>
        <v>0.3435930735930736</v>
      </c>
      <c r="F15" s="121">
        <f t="shared" si="1"/>
        <v>0.3759915611814346</v>
      </c>
      <c r="G15" s="121">
        <f t="shared" si="1"/>
        <v>0.13038805970149253</v>
      </c>
      <c r="H15" s="121">
        <f t="shared" si="1"/>
        <v>0.2331390070921986</v>
      </c>
      <c r="I15" s="121">
        <f t="shared" si="1"/>
        <v>0.1763888888888889</v>
      </c>
      <c r="J15" s="121">
        <f t="shared" si="1"/>
        <v>0.24952380952380954</v>
      </c>
      <c r="K15" s="121">
        <f t="shared" si="1"/>
        <v>0.04417777777777778</v>
      </c>
      <c r="L15" s="121">
        <f t="shared" si="1"/>
        <v>0.1742857142857143</v>
      </c>
      <c r="M15" s="121">
        <v>0.34</v>
      </c>
      <c r="N15" s="121">
        <f aca="true" t="shared" si="2" ref="N15:S15">N14/N34</f>
        <v>0.37755757575757576</v>
      </c>
      <c r="O15" s="121">
        <f t="shared" si="2"/>
        <v>0.4947575757575758</v>
      </c>
      <c r="P15" s="121">
        <f t="shared" si="2"/>
        <v>0.3160666666666667</v>
      </c>
      <c r="Q15" s="121">
        <f t="shared" si="2"/>
        <v>0.7233333333333334</v>
      </c>
      <c r="R15" s="121">
        <f t="shared" si="2"/>
        <v>0.2134</v>
      </c>
      <c r="S15" s="121">
        <f t="shared" si="2"/>
        <v>0.21194444444444446</v>
      </c>
      <c r="T15" s="11"/>
      <c r="U15" s="24"/>
      <c r="V15" s="24"/>
      <c r="W15" s="24"/>
    </row>
    <row r="16" spans="1:23" s="1" customFormat="1" ht="22.5" customHeight="1">
      <c r="A16" s="111"/>
      <c r="B16" s="112"/>
      <c r="C16" s="112"/>
      <c r="D16" s="113"/>
      <c r="E16" s="122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1"/>
      <c r="U16" s="24"/>
      <c r="V16" s="24"/>
      <c r="W16" s="24"/>
    </row>
    <row r="17" spans="1:23" s="3" customFormat="1" ht="18.75" customHeight="1">
      <c r="A17" s="191" t="s">
        <v>28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75"/>
      <c r="U17" s="76"/>
      <c r="V17" s="76"/>
      <c r="W17" s="76"/>
    </row>
    <row r="18" spans="1:23" s="72" customFormat="1" ht="22.5" customHeight="1">
      <c r="A18" s="79">
        <v>52</v>
      </c>
      <c r="B18" s="148" t="s">
        <v>58</v>
      </c>
      <c r="C18" s="149"/>
      <c r="D18" s="71">
        <v>60</v>
      </c>
      <c r="E18" s="73">
        <v>0.86</v>
      </c>
      <c r="F18" s="73">
        <v>3.05</v>
      </c>
      <c r="G18" s="73">
        <v>5.13</v>
      </c>
      <c r="H18" s="73">
        <f aca="true" t="shared" si="3" ref="H18:H23">E18*4+F18*9+G18*4</f>
        <v>51.41</v>
      </c>
      <c r="I18" s="73">
        <v>0.01</v>
      </c>
      <c r="J18" s="73">
        <v>0.02</v>
      </c>
      <c r="K18" s="70">
        <v>5.7</v>
      </c>
      <c r="L18" s="73">
        <v>0.01</v>
      </c>
      <c r="M18" s="73">
        <v>0.1</v>
      </c>
      <c r="N18" s="73">
        <v>26.61</v>
      </c>
      <c r="O18" s="73">
        <v>25.64</v>
      </c>
      <c r="P18" s="73">
        <v>0.43</v>
      </c>
      <c r="Q18" s="74">
        <v>0.01</v>
      </c>
      <c r="R18" s="70">
        <v>12.87</v>
      </c>
      <c r="S18" s="73">
        <v>0.84</v>
      </c>
      <c r="T18" s="75"/>
      <c r="U18" s="76"/>
      <c r="V18" s="76"/>
      <c r="W18" s="76"/>
    </row>
    <row r="19" spans="1:23" s="3" customFormat="1" ht="27" customHeight="1">
      <c r="A19" s="129">
        <v>106</v>
      </c>
      <c r="B19" s="181" t="s">
        <v>99</v>
      </c>
      <c r="C19" s="182"/>
      <c r="D19" s="69" t="s">
        <v>95</v>
      </c>
      <c r="E19" s="73">
        <v>12.6</v>
      </c>
      <c r="F19" s="73">
        <v>13.3</v>
      </c>
      <c r="G19" s="73">
        <v>27.9</v>
      </c>
      <c r="H19" s="73">
        <f t="shared" si="3"/>
        <v>281.7</v>
      </c>
      <c r="I19" s="73">
        <v>0.19</v>
      </c>
      <c r="J19" s="73">
        <v>0.13</v>
      </c>
      <c r="K19" s="73">
        <v>0.36</v>
      </c>
      <c r="L19" s="73">
        <v>0.024</v>
      </c>
      <c r="M19" s="73">
        <v>0.059</v>
      </c>
      <c r="N19" s="73">
        <v>34.48</v>
      </c>
      <c r="O19" s="73">
        <v>134.1</v>
      </c>
      <c r="P19" s="73">
        <v>1.52</v>
      </c>
      <c r="Q19" s="73">
        <v>0.03</v>
      </c>
      <c r="R19" s="73">
        <v>20.32</v>
      </c>
      <c r="S19" s="73">
        <v>1.57</v>
      </c>
      <c r="T19" s="75"/>
      <c r="U19" s="76"/>
      <c r="V19" s="76"/>
      <c r="W19" s="76"/>
    </row>
    <row r="20" spans="1:23" s="3" customFormat="1" ht="11.25" customHeight="1">
      <c r="A20" s="129">
        <v>295</v>
      </c>
      <c r="B20" s="147" t="s">
        <v>96</v>
      </c>
      <c r="C20" s="147"/>
      <c r="D20" s="69">
        <v>90</v>
      </c>
      <c r="E20" s="73">
        <f>15.24*D20/100</f>
        <v>13.716</v>
      </c>
      <c r="F20" s="70">
        <f>5.8*D20/100</f>
        <v>5.22</v>
      </c>
      <c r="G20" s="70">
        <f>10.16*D20/100</f>
        <v>9.144</v>
      </c>
      <c r="H20" s="73">
        <f t="shared" si="3"/>
        <v>138.42</v>
      </c>
      <c r="I20" s="69">
        <f>0.09*D20/100</f>
        <v>0.081</v>
      </c>
      <c r="J20" s="73">
        <f>0.08*D20/100</f>
        <v>0.07200000000000001</v>
      </c>
      <c r="K20" s="73">
        <f>0.24*D20/100</f>
        <v>0.21599999999999997</v>
      </c>
      <c r="L20" s="69">
        <f>0.001*D20/100</f>
        <v>0.0009</v>
      </c>
      <c r="M20" s="69">
        <f>0.074*D20/100</f>
        <v>0.06659999999999999</v>
      </c>
      <c r="N20" s="70">
        <f>14.03*D20/100</f>
        <v>12.627</v>
      </c>
      <c r="O20" s="70">
        <f>93.98*D20/100</f>
        <v>84.58200000000001</v>
      </c>
      <c r="P20" s="73">
        <f>1.17*D20/100</f>
        <v>1.053</v>
      </c>
      <c r="Q20" s="74">
        <f>0.04*D20/100</f>
        <v>0.036000000000000004</v>
      </c>
      <c r="R20" s="70">
        <f>16.24*D20/100</f>
        <v>14.616</v>
      </c>
      <c r="S20" s="73">
        <f>D20*1.89/100</f>
        <v>1.7009999999999998</v>
      </c>
      <c r="T20" s="75"/>
      <c r="U20" s="76"/>
      <c r="V20" s="76"/>
      <c r="W20" s="76"/>
    </row>
    <row r="21" spans="1:23" s="1" customFormat="1" ht="11.25" customHeight="1">
      <c r="A21" s="114">
        <v>203</v>
      </c>
      <c r="B21" s="148" t="s">
        <v>54</v>
      </c>
      <c r="C21" s="149"/>
      <c r="D21" s="71">
        <v>150</v>
      </c>
      <c r="E21" s="73">
        <f>5.7*D21/150</f>
        <v>5.7</v>
      </c>
      <c r="F21" s="73">
        <f>3.43*D21/150</f>
        <v>3.43</v>
      </c>
      <c r="G21" s="73">
        <f>36.45*D21/150</f>
        <v>36.45</v>
      </c>
      <c r="H21" s="73">
        <f t="shared" si="3"/>
        <v>199.47000000000003</v>
      </c>
      <c r="I21" s="73">
        <f>0.09*D21/150</f>
        <v>0.09</v>
      </c>
      <c r="J21" s="73">
        <f>0.03*D21/150</f>
        <v>0.03</v>
      </c>
      <c r="K21" s="73">
        <v>0</v>
      </c>
      <c r="L21" s="74">
        <f>0.03*D21/150</f>
        <v>0.03</v>
      </c>
      <c r="M21" s="73">
        <f>1.25*D21/150</f>
        <v>1.25</v>
      </c>
      <c r="N21" s="73">
        <f>13.28*D21/150</f>
        <v>13.28</v>
      </c>
      <c r="O21" s="73">
        <f>46.21*D21/150</f>
        <v>46.21</v>
      </c>
      <c r="P21" s="73">
        <f>0.78*D21/150</f>
        <v>0.78</v>
      </c>
      <c r="Q21" s="74">
        <f>0.0015*D21/150</f>
        <v>0.0015</v>
      </c>
      <c r="R21" s="73">
        <f>8.47*D21/150</f>
        <v>8.47</v>
      </c>
      <c r="S21" s="73">
        <f>0.86*D21/150</f>
        <v>0.86</v>
      </c>
      <c r="T21" s="48"/>
      <c r="U21" s="40"/>
      <c r="V21" s="40"/>
      <c r="W21" s="40"/>
    </row>
    <row r="22" spans="1:23" s="1" customFormat="1" ht="11.25" customHeight="1">
      <c r="A22" s="129">
        <v>389</v>
      </c>
      <c r="B22" s="148" t="s">
        <v>104</v>
      </c>
      <c r="C22" s="149"/>
      <c r="D22" s="71">
        <v>200</v>
      </c>
      <c r="E22" s="73">
        <v>1</v>
      </c>
      <c r="F22" s="73">
        <v>0.2</v>
      </c>
      <c r="G22" s="73">
        <v>20.2</v>
      </c>
      <c r="H22" s="73">
        <f t="shared" si="3"/>
        <v>86.6</v>
      </c>
      <c r="I22" s="69">
        <v>0.02</v>
      </c>
      <c r="J22" s="69">
        <v>0.02</v>
      </c>
      <c r="K22" s="70">
        <v>4.8</v>
      </c>
      <c r="L22" s="69">
        <v>0</v>
      </c>
      <c r="M22" s="69">
        <v>0</v>
      </c>
      <c r="N22" s="70">
        <v>14</v>
      </c>
      <c r="O22" s="70">
        <v>18</v>
      </c>
      <c r="P22" s="70">
        <v>0.03</v>
      </c>
      <c r="Q22" s="70">
        <v>0</v>
      </c>
      <c r="R22" s="70">
        <v>8</v>
      </c>
      <c r="S22" s="73">
        <v>0.72</v>
      </c>
      <c r="T22" s="48"/>
      <c r="U22" s="40"/>
      <c r="V22" s="40"/>
      <c r="W22" s="40"/>
    </row>
    <row r="23" spans="1:23" s="3" customFormat="1" ht="11.25" customHeight="1">
      <c r="A23" s="80" t="s">
        <v>81</v>
      </c>
      <c r="B23" s="148" t="s">
        <v>46</v>
      </c>
      <c r="C23" s="149"/>
      <c r="D23" s="71">
        <v>40</v>
      </c>
      <c r="E23" s="73">
        <f>2.64*D23/40</f>
        <v>2.64</v>
      </c>
      <c r="F23" s="73">
        <f>0.48*D23/40</f>
        <v>0.48</v>
      </c>
      <c r="G23" s="73">
        <f>13.68*D23/40</f>
        <v>13.680000000000001</v>
      </c>
      <c r="H23" s="73">
        <f t="shared" si="3"/>
        <v>69.60000000000001</v>
      </c>
      <c r="I23" s="69">
        <f>0.08*D23/40</f>
        <v>0.08</v>
      </c>
      <c r="J23" s="73">
        <f>0.04*D23/40</f>
        <v>0.04</v>
      </c>
      <c r="K23" s="71">
        <v>0</v>
      </c>
      <c r="L23" s="71">
        <v>0</v>
      </c>
      <c r="M23" s="73">
        <f>2.4*D23/40</f>
        <v>2.4</v>
      </c>
      <c r="N23" s="73">
        <f>14*D23/40</f>
        <v>14</v>
      </c>
      <c r="O23" s="73">
        <f>63.2*D23/40</f>
        <v>63.2</v>
      </c>
      <c r="P23" s="73">
        <f>1.2*D23/40</f>
        <v>1.2</v>
      </c>
      <c r="Q23" s="74">
        <f>0.001*D23/40</f>
        <v>0.001</v>
      </c>
      <c r="R23" s="73">
        <f>9.4*D23/40</f>
        <v>9.4</v>
      </c>
      <c r="S23" s="69">
        <f>0.78*D23/40</f>
        <v>0.78</v>
      </c>
      <c r="T23" s="75"/>
      <c r="U23" s="76"/>
      <c r="V23" s="76"/>
      <c r="W23" s="76"/>
    </row>
    <row r="24" spans="1:23" s="3" customFormat="1" ht="11.25" customHeight="1">
      <c r="A24" s="61" t="s">
        <v>29</v>
      </c>
      <c r="B24" s="61"/>
      <c r="C24" s="61"/>
      <c r="D24" s="61">
        <v>794</v>
      </c>
      <c r="E24" s="38">
        <f>SUM(E19:E23)</f>
        <v>35.656</v>
      </c>
      <c r="F24" s="38">
        <f>SUM(F19:F23)</f>
        <v>22.63</v>
      </c>
      <c r="G24" s="38">
        <f>SUM(G19:G23)</f>
        <v>107.37400000000001</v>
      </c>
      <c r="H24" s="37">
        <f>SUM(H19:H23)</f>
        <v>775.7900000000001</v>
      </c>
      <c r="I24" s="38">
        <f aca="true" t="shared" si="4" ref="I24:R24">SUM(I19:I23)</f>
        <v>0.461</v>
      </c>
      <c r="J24" s="38">
        <f t="shared" si="4"/>
        <v>0.292</v>
      </c>
      <c r="K24" s="38">
        <f t="shared" si="4"/>
        <v>5.3759999999999994</v>
      </c>
      <c r="L24" s="38">
        <f t="shared" si="4"/>
        <v>0.054900000000000004</v>
      </c>
      <c r="M24" s="38">
        <f t="shared" si="4"/>
        <v>3.7756</v>
      </c>
      <c r="N24" s="38">
        <f t="shared" si="4"/>
        <v>88.387</v>
      </c>
      <c r="O24" s="38">
        <f t="shared" si="4"/>
        <v>346.092</v>
      </c>
      <c r="P24" s="38">
        <f t="shared" si="4"/>
        <v>4.582999999999999</v>
      </c>
      <c r="Q24" s="39">
        <f t="shared" si="4"/>
        <v>0.0685</v>
      </c>
      <c r="R24" s="38">
        <f t="shared" si="4"/>
        <v>60.806</v>
      </c>
      <c r="S24" s="38">
        <f>SUM(S19:S23)</f>
        <v>5.631</v>
      </c>
      <c r="T24" s="75"/>
      <c r="U24" s="76"/>
      <c r="V24" s="76"/>
      <c r="W24" s="76"/>
    </row>
    <row r="25" spans="1:23" s="1" customFormat="1" ht="11.25" customHeight="1">
      <c r="A25" s="154" t="s">
        <v>68</v>
      </c>
      <c r="B25" s="155"/>
      <c r="C25" s="155"/>
      <c r="D25" s="156"/>
      <c r="E25" s="120">
        <f aca="true" t="shared" si="5" ref="E25:S25">E24/E34</f>
        <v>0.46306493506493507</v>
      </c>
      <c r="F25" s="121">
        <f t="shared" si="5"/>
        <v>0.28645569620253164</v>
      </c>
      <c r="G25" s="121">
        <f t="shared" si="5"/>
        <v>0.32051940298507464</v>
      </c>
      <c r="H25" s="121">
        <f t="shared" si="5"/>
        <v>0.33012340425531916</v>
      </c>
      <c r="I25" s="121">
        <f t="shared" si="5"/>
        <v>0.3841666666666667</v>
      </c>
      <c r="J25" s="121">
        <f t="shared" si="5"/>
        <v>0.20857142857142857</v>
      </c>
      <c r="K25" s="121">
        <f t="shared" si="5"/>
        <v>0.08959999999999999</v>
      </c>
      <c r="L25" s="121">
        <f t="shared" si="5"/>
        <v>0.07842857142857144</v>
      </c>
      <c r="M25" s="121">
        <f t="shared" si="5"/>
        <v>0.37756</v>
      </c>
      <c r="N25" s="121">
        <f t="shared" si="5"/>
        <v>0.08035181818181818</v>
      </c>
      <c r="O25" s="121">
        <f t="shared" si="5"/>
        <v>0.3146290909090909</v>
      </c>
      <c r="P25" s="121">
        <f t="shared" si="5"/>
        <v>0.45829999999999993</v>
      </c>
      <c r="Q25" s="121">
        <f t="shared" si="5"/>
        <v>0.685</v>
      </c>
      <c r="R25" s="121">
        <f t="shared" si="5"/>
        <v>0.243224</v>
      </c>
      <c r="S25" s="121">
        <f t="shared" si="5"/>
        <v>0.46925</v>
      </c>
      <c r="T25" s="37"/>
      <c r="U25" s="40"/>
      <c r="V25" s="40"/>
      <c r="W25" s="40"/>
    </row>
    <row r="26" spans="1:23" s="1" customFormat="1" ht="11.25" customHeight="1">
      <c r="A26" s="86" t="s">
        <v>88</v>
      </c>
      <c r="B26" s="112"/>
      <c r="C26" s="112"/>
      <c r="D26" s="113"/>
      <c r="E26" s="122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48"/>
      <c r="U26" s="40"/>
      <c r="V26" s="40"/>
      <c r="W26" s="40"/>
    </row>
    <row r="27" spans="1:23" s="1" customFormat="1" ht="11.25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4"/>
      <c r="T27" s="41"/>
      <c r="U27" s="40"/>
      <c r="V27" s="40"/>
      <c r="W27" s="40"/>
    </row>
    <row r="28" spans="1:23" s="1" customFormat="1" ht="1.5" customHeight="1">
      <c r="A28" s="114"/>
      <c r="B28" s="148"/>
      <c r="C28" s="149"/>
      <c r="D28" s="71"/>
      <c r="E28" s="73"/>
      <c r="F28" s="73"/>
      <c r="G28" s="73"/>
      <c r="H28" s="73"/>
      <c r="I28" s="74"/>
      <c r="J28" s="73"/>
      <c r="K28" s="73"/>
      <c r="L28" s="74"/>
      <c r="M28" s="69"/>
      <c r="N28" s="70"/>
      <c r="O28" s="73"/>
      <c r="P28" s="73"/>
      <c r="Q28" s="74"/>
      <c r="R28" s="73"/>
      <c r="S28" s="73"/>
      <c r="T28" s="75"/>
      <c r="U28" s="76"/>
      <c r="V28" s="76"/>
      <c r="W28" s="76"/>
    </row>
    <row r="29" spans="1:23" s="1" customFormat="1" ht="11.25" customHeight="1" hidden="1">
      <c r="A29" s="114"/>
      <c r="B29" s="148"/>
      <c r="C29" s="149"/>
      <c r="D29" s="71"/>
      <c r="E29" s="73"/>
      <c r="F29" s="73"/>
      <c r="G29" s="73"/>
      <c r="H29" s="73"/>
      <c r="I29" s="74"/>
      <c r="J29" s="73"/>
      <c r="K29" s="73"/>
      <c r="L29" s="74"/>
      <c r="M29" s="69"/>
      <c r="N29" s="70"/>
      <c r="O29" s="73"/>
      <c r="P29" s="73"/>
      <c r="Q29" s="74"/>
      <c r="R29" s="73"/>
      <c r="S29" s="73"/>
      <c r="T29" s="45"/>
      <c r="U29" s="46"/>
      <c r="V29" s="46"/>
      <c r="W29" s="46"/>
    </row>
    <row r="30" spans="1:23" s="1" customFormat="1" ht="11.25" customHeight="1" hidden="1">
      <c r="A30" s="114"/>
      <c r="B30" s="148"/>
      <c r="C30" s="149"/>
      <c r="D30" s="71"/>
      <c r="E30" s="73"/>
      <c r="F30" s="73"/>
      <c r="G30" s="73"/>
      <c r="H30" s="73"/>
      <c r="I30" s="74"/>
      <c r="J30" s="74"/>
      <c r="K30" s="73"/>
      <c r="L30" s="73"/>
      <c r="M30" s="69"/>
      <c r="N30" s="73"/>
      <c r="O30" s="73"/>
      <c r="P30" s="70"/>
      <c r="Q30" s="74"/>
      <c r="R30" s="73"/>
      <c r="S30" s="73"/>
      <c r="T30" s="12"/>
      <c r="U30" s="19"/>
      <c r="V30" s="19"/>
      <c r="W30" s="19"/>
    </row>
    <row r="31" spans="1:24" s="1" customFormat="1" ht="11.25" customHeight="1" hidden="1">
      <c r="A31" s="62"/>
      <c r="B31" s="63"/>
      <c r="C31" s="63"/>
      <c r="D31" s="66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3"/>
      <c r="U31" s="25"/>
      <c r="V31" s="25"/>
      <c r="W31" s="25"/>
      <c r="X31" s="55"/>
    </row>
    <row r="32" spans="1:23" s="1" customFormat="1" ht="11.25" customHeight="1">
      <c r="A32" s="154"/>
      <c r="B32" s="155"/>
      <c r="C32" s="155"/>
      <c r="D32" s="156"/>
      <c r="E32" s="123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4"/>
      <c r="U32" s="20"/>
      <c r="V32" s="20"/>
      <c r="W32" s="20"/>
    </row>
    <row r="33" spans="1:23" s="1" customFormat="1" ht="11.25" customHeight="1">
      <c r="A33" s="154" t="s">
        <v>67</v>
      </c>
      <c r="B33" s="155"/>
      <c r="C33" s="155"/>
      <c r="D33" s="156"/>
      <c r="E33" s="38">
        <f aca="true" t="shared" si="6" ref="E33:S33">SUM(E14,E24,E31)</f>
        <v>62.11266666666667</v>
      </c>
      <c r="F33" s="37">
        <f t="shared" si="6"/>
        <v>52.33333333333333</v>
      </c>
      <c r="G33" s="37">
        <f t="shared" si="6"/>
        <v>151.054</v>
      </c>
      <c r="H33" s="37">
        <f t="shared" si="6"/>
        <v>1323.6666666666667</v>
      </c>
      <c r="I33" s="38">
        <f t="shared" si="6"/>
        <v>0.6726666666666667</v>
      </c>
      <c r="J33" s="38">
        <f t="shared" si="6"/>
        <v>0.6413333333333333</v>
      </c>
      <c r="K33" s="38">
        <f t="shared" si="6"/>
        <v>8.026666666666667</v>
      </c>
      <c r="L33" s="38">
        <f t="shared" si="6"/>
        <v>0.1769</v>
      </c>
      <c r="M33" s="38">
        <f t="shared" si="6"/>
        <v>7.148933333333333</v>
      </c>
      <c r="N33" s="38">
        <f t="shared" si="6"/>
        <v>503.70033333333333</v>
      </c>
      <c r="O33" s="37">
        <f t="shared" si="6"/>
        <v>890.3253333333333</v>
      </c>
      <c r="P33" s="39">
        <f t="shared" si="6"/>
        <v>7.743666666666666</v>
      </c>
      <c r="Q33" s="39">
        <f t="shared" si="6"/>
        <v>0.14083333333333337</v>
      </c>
      <c r="R33" s="38">
        <f t="shared" si="6"/>
        <v>114.156</v>
      </c>
      <c r="S33" s="38">
        <f t="shared" si="6"/>
        <v>8.174333333333333</v>
      </c>
      <c r="T33" s="15"/>
      <c r="U33" s="21"/>
      <c r="V33" s="21"/>
      <c r="W33" s="21"/>
    </row>
    <row r="34" spans="1:23" s="1" customFormat="1" ht="21.75" customHeight="1">
      <c r="A34" s="154" t="s">
        <v>69</v>
      </c>
      <c r="B34" s="155"/>
      <c r="C34" s="155"/>
      <c r="D34" s="156"/>
      <c r="E34" s="73">
        <v>77</v>
      </c>
      <c r="F34" s="70">
        <v>79</v>
      </c>
      <c r="G34" s="70">
        <v>335</v>
      </c>
      <c r="H34" s="70">
        <v>2350</v>
      </c>
      <c r="I34" s="73">
        <v>1.2</v>
      </c>
      <c r="J34" s="73">
        <v>1.4</v>
      </c>
      <c r="K34" s="71">
        <v>60</v>
      </c>
      <c r="L34" s="73">
        <v>0.7</v>
      </c>
      <c r="M34" s="71">
        <v>10</v>
      </c>
      <c r="N34" s="71">
        <v>1100</v>
      </c>
      <c r="O34" s="71">
        <v>1100</v>
      </c>
      <c r="P34" s="71">
        <v>10</v>
      </c>
      <c r="Q34" s="70">
        <v>0.1</v>
      </c>
      <c r="R34" s="71">
        <v>250</v>
      </c>
      <c r="S34" s="73">
        <v>12</v>
      </c>
      <c r="T34" s="9"/>
      <c r="U34" s="22"/>
      <c r="V34" s="22"/>
      <c r="W34" s="22"/>
    </row>
    <row r="35" spans="1:23" s="1" customFormat="1" ht="21" customHeight="1">
      <c r="A35" s="154" t="s">
        <v>68</v>
      </c>
      <c r="B35" s="155"/>
      <c r="C35" s="155"/>
      <c r="D35" s="156"/>
      <c r="E35" s="78">
        <f aca="true" t="shared" si="7" ref="E35:S35">E33/E34</f>
        <v>0.8066580086580087</v>
      </c>
      <c r="F35" s="131">
        <f t="shared" si="7"/>
        <v>0.6624472573839661</v>
      </c>
      <c r="G35" s="43">
        <f t="shared" si="7"/>
        <v>0.4509074626865672</v>
      </c>
      <c r="H35" s="43">
        <f t="shared" si="7"/>
        <v>0.5632624113475178</v>
      </c>
      <c r="I35" s="43">
        <f t="shared" si="7"/>
        <v>0.5605555555555557</v>
      </c>
      <c r="J35" s="43">
        <f t="shared" si="7"/>
        <v>0.4580952380952381</v>
      </c>
      <c r="K35" s="43">
        <f t="shared" si="7"/>
        <v>0.1337777777777778</v>
      </c>
      <c r="L35" s="44">
        <f t="shared" si="7"/>
        <v>0.2527142857142857</v>
      </c>
      <c r="M35" s="43">
        <f t="shared" si="7"/>
        <v>0.7148933333333333</v>
      </c>
      <c r="N35" s="43">
        <f t="shared" si="7"/>
        <v>0.45790939393939395</v>
      </c>
      <c r="O35" s="43">
        <f t="shared" si="7"/>
        <v>0.8093866666666667</v>
      </c>
      <c r="P35" s="43">
        <f t="shared" si="7"/>
        <v>0.7743666666666666</v>
      </c>
      <c r="Q35" s="43">
        <f>Q33/Q34</f>
        <v>1.4083333333333337</v>
      </c>
      <c r="R35" s="43">
        <f t="shared" si="7"/>
        <v>0.45662400000000003</v>
      </c>
      <c r="S35" s="44">
        <f t="shared" si="7"/>
        <v>0.6811944444444444</v>
      </c>
      <c r="T35" s="9"/>
      <c r="U35" s="22"/>
      <c r="V35" s="22"/>
      <c r="W35" s="22"/>
    </row>
    <row r="36" spans="1:23" s="1" customFormat="1" ht="11.25" customHeight="1">
      <c r="A36" s="56"/>
      <c r="B36" s="56"/>
      <c r="C36" s="115"/>
      <c r="D36" s="115"/>
      <c r="E36" s="105"/>
      <c r="F36" s="72"/>
      <c r="G36" s="2"/>
      <c r="H36" s="2"/>
      <c r="I36" s="72"/>
      <c r="J36" s="72"/>
      <c r="K36" s="72"/>
      <c r="L36" s="174" t="s">
        <v>80</v>
      </c>
      <c r="M36" s="174"/>
      <c r="N36" s="174"/>
      <c r="O36" s="174"/>
      <c r="P36" s="174"/>
      <c r="Q36" s="174"/>
      <c r="R36" s="174"/>
      <c r="S36" s="174"/>
      <c r="T36" s="10"/>
      <c r="U36" s="23"/>
      <c r="V36" s="23"/>
      <c r="W36" s="23"/>
    </row>
    <row r="37" spans="1:23" s="1" customFormat="1" ht="11.25" customHeight="1">
      <c r="A37" s="186" t="s">
        <v>30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1"/>
      <c r="U37" s="24"/>
      <c r="V37" s="24"/>
      <c r="W37" s="24"/>
    </row>
    <row r="38" spans="1:23" s="1" customFormat="1" ht="21" customHeight="1">
      <c r="A38" s="60" t="s">
        <v>59</v>
      </c>
      <c r="B38" s="56"/>
      <c r="C38" s="56"/>
      <c r="D38" s="2"/>
      <c r="E38" s="35"/>
      <c r="F38" s="175" t="s">
        <v>31</v>
      </c>
      <c r="G38" s="175"/>
      <c r="H38" s="175"/>
      <c r="I38" s="72"/>
      <c r="J38" s="72"/>
      <c r="K38" s="171" t="s">
        <v>2</v>
      </c>
      <c r="L38" s="171"/>
      <c r="M38" s="168" t="s">
        <v>77</v>
      </c>
      <c r="N38" s="168"/>
      <c r="O38" s="168"/>
      <c r="P38" s="168"/>
      <c r="Q38" s="72"/>
      <c r="R38" s="72"/>
      <c r="S38" s="72"/>
      <c r="T38" s="11"/>
      <c r="U38" s="24"/>
      <c r="V38" s="24"/>
      <c r="W38" s="24"/>
    </row>
    <row r="39" spans="1:23" s="3" customFormat="1" ht="20.25" customHeight="1">
      <c r="A39" s="56"/>
      <c r="B39" s="56"/>
      <c r="C39" s="56"/>
      <c r="D39" s="171" t="s">
        <v>3</v>
      </c>
      <c r="E39" s="171"/>
      <c r="F39" s="7">
        <v>1</v>
      </c>
      <c r="G39" s="72"/>
      <c r="H39" s="2"/>
      <c r="I39" s="2"/>
      <c r="J39" s="2"/>
      <c r="K39" s="171" t="s">
        <v>4</v>
      </c>
      <c r="L39" s="171"/>
      <c r="M39" s="175" t="s">
        <v>61</v>
      </c>
      <c r="N39" s="175"/>
      <c r="O39" s="175"/>
      <c r="P39" s="175"/>
      <c r="Q39" s="175"/>
      <c r="R39" s="175"/>
      <c r="S39" s="175"/>
      <c r="T39" s="32"/>
      <c r="U39" s="33"/>
      <c r="V39" s="33"/>
      <c r="W39" s="33"/>
    </row>
    <row r="40" spans="1:23" s="72" customFormat="1" ht="21.75" customHeight="1">
      <c r="A40" s="169" t="s">
        <v>5</v>
      </c>
      <c r="B40" s="169" t="s">
        <v>6</v>
      </c>
      <c r="C40" s="169"/>
      <c r="D40" s="169" t="s">
        <v>7</v>
      </c>
      <c r="E40" s="176" t="s">
        <v>8</v>
      </c>
      <c r="F40" s="176"/>
      <c r="G40" s="176"/>
      <c r="H40" s="169" t="s">
        <v>9</v>
      </c>
      <c r="I40" s="176" t="s">
        <v>10</v>
      </c>
      <c r="J40" s="176"/>
      <c r="K40" s="176"/>
      <c r="L40" s="176"/>
      <c r="M40" s="176"/>
      <c r="N40" s="176" t="s">
        <v>11</v>
      </c>
      <c r="O40" s="176"/>
      <c r="P40" s="176"/>
      <c r="Q40" s="176"/>
      <c r="R40" s="176"/>
      <c r="S40" s="176"/>
      <c r="T40" s="32"/>
      <c r="U40" s="33"/>
      <c r="V40" s="33"/>
      <c r="W40" s="33"/>
    </row>
    <row r="41" spans="1:23" s="3" customFormat="1" ht="11.25" customHeight="1">
      <c r="A41" s="170"/>
      <c r="B41" s="172"/>
      <c r="C41" s="173"/>
      <c r="D41" s="170"/>
      <c r="E41" s="103" t="s">
        <v>12</v>
      </c>
      <c r="F41" s="117" t="s">
        <v>13</v>
      </c>
      <c r="G41" s="117" t="s">
        <v>14</v>
      </c>
      <c r="H41" s="170"/>
      <c r="I41" s="117" t="s">
        <v>15</v>
      </c>
      <c r="J41" s="117" t="s">
        <v>62</v>
      </c>
      <c r="K41" s="117" t="s">
        <v>16</v>
      </c>
      <c r="L41" s="117" t="s">
        <v>17</v>
      </c>
      <c r="M41" s="117" t="s">
        <v>18</v>
      </c>
      <c r="N41" s="117" t="s">
        <v>19</v>
      </c>
      <c r="O41" s="117" t="s">
        <v>20</v>
      </c>
      <c r="P41" s="117" t="s">
        <v>63</v>
      </c>
      <c r="Q41" s="117" t="s">
        <v>64</v>
      </c>
      <c r="R41" s="117" t="s">
        <v>21</v>
      </c>
      <c r="S41" s="117" t="s">
        <v>22</v>
      </c>
      <c r="T41" s="75"/>
      <c r="U41" s="76"/>
      <c r="V41" s="76"/>
      <c r="W41" s="76"/>
    </row>
    <row r="42" spans="1:23" s="3" customFormat="1" ht="11.25" customHeight="1">
      <c r="A42" s="114">
        <v>1</v>
      </c>
      <c r="B42" s="183">
        <v>2</v>
      </c>
      <c r="C42" s="183"/>
      <c r="D42" s="36">
        <v>3</v>
      </c>
      <c r="E42" s="104">
        <v>4</v>
      </c>
      <c r="F42" s="36">
        <v>5</v>
      </c>
      <c r="G42" s="36">
        <v>6</v>
      </c>
      <c r="H42" s="36">
        <v>7</v>
      </c>
      <c r="I42" s="36">
        <v>8</v>
      </c>
      <c r="J42" s="36">
        <v>9</v>
      </c>
      <c r="K42" s="36">
        <v>10</v>
      </c>
      <c r="L42" s="36">
        <v>11</v>
      </c>
      <c r="M42" s="36">
        <v>12</v>
      </c>
      <c r="N42" s="36">
        <v>13</v>
      </c>
      <c r="O42" s="36">
        <v>14</v>
      </c>
      <c r="P42" s="36">
        <v>15</v>
      </c>
      <c r="Q42" s="36">
        <v>16</v>
      </c>
      <c r="R42" s="36">
        <v>17</v>
      </c>
      <c r="S42" s="36">
        <v>18</v>
      </c>
      <c r="T42" s="75"/>
      <c r="U42" s="76"/>
      <c r="V42" s="76"/>
      <c r="W42" s="76"/>
    </row>
    <row r="43" spans="1:23" s="3" customFormat="1" ht="11.25" customHeight="1">
      <c r="A43" s="162" t="s">
        <v>23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4"/>
      <c r="T43" s="75"/>
      <c r="U43" s="76"/>
      <c r="V43" s="76"/>
      <c r="W43" s="76"/>
    </row>
    <row r="44" spans="1:23" s="3" customFormat="1" ht="12" customHeight="1">
      <c r="A44" s="67">
        <v>338</v>
      </c>
      <c r="B44" s="148" t="s">
        <v>82</v>
      </c>
      <c r="C44" s="149"/>
      <c r="D44" s="71">
        <v>100</v>
      </c>
      <c r="E44" s="73">
        <f>D44*0.2/50</f>
        <v>0.4</v>
      </c>
      <c r="F44" s="73">
        <f>D44*0.15/50</f>
        <v>0.3</v>
      </c>
      <c r="G44" s="73">
        <f>D44*5.15/50</f>
        <v>10.3</v>
      </c>
      <c r="H44" s="73">
        <f>E44*4+F44*9+G44*4</f>
        <v>45.5</v>
      </c>
      <c r="I44" s="73">
        <f>D44*0.02/50</f>
        <v>0.04</v>
      </c>
      <c r="J44" s="73">
        <f>D44*0.01/50</f>
        <v>0.02</v>
      </c>
      <c r="K44" s="73">
        <f>D44*2.5/50</f>
        <v>5</v>
      </c>
      <c r="L44" s="73">
        <v>0.005</v>
      </c>
      <c r="M44" s="69">
        <f>D44*0.1/50</f>
        <v>0.2</v>
      </c>
      <c r="N44" s="73">
        <f>D44*9.5/50</f>
        <v>19</v>
      </c>
      <c r="O44" s="73">
        <f>D44*5.5/50</f>
        <v>11</v>
      </c>
      <c r="P44" s="74">
        <f>D44*0.015/50</f>
        <v>0.03</v>
      </c>
      <c r="Q44" s="73">
        <v>0.002</v>
      </c>
      <c r="R44" s="73">
        <f>D44*6/50</f>
        <v>12</v>
      </c>
      <c r="S44" s="73">
        <f>D44*1.15/50</f>
        <v>2.3</v>
      </c>
      <c r="T44" s="48"/>
      <c r="U44" s="47"/>
      <c r="V44" s="47"/>
      <c r="W44" s="47"/>
    </row>
    <row r="45" spans="1:23" s="72" customFormat="1" ht="12" customHeight="1">
      <c r="A45" s="68">
        <v>71</v>
      </c>
      <c r="B45" s="148" t="s">
        <v>112</v>
      </c>
      <c r="C45" s="149"/>
      <c r="D45" s="81">
        <v>75</v>
      </c>
      <c r="E45" s="82">
        <f>0.5*D45/60</f>
        <v>0.625</v>
      </c>
      <c r="F45" s="82">
        <f>0.03*D45/30</f>
        <v>0.075</v>
      </c>
      <c r="G45" s="82">
        <f>1.7*D45/60</f>
        <v>2.125</v>
      </c>
      <c r="H45" s="82">
        <f>E45*4+F45*9+G45*4</f>
        <v>11.675</v>
      </c>
      <c r="I45" s="83">
        <v>0.009</v>
      </c>
      <c r="J45" s="82">
        <v>0.01</v>
      </c>
      <c r="K45" s="84">
        <v>3</v>
      </c>
      <c r="L45" s="83">
        <v>0.003</v>
      </c>
      <c r="M45" s="81">
        <v>0.03</v>
      </c>
      <c r="N45" s="82">
        <v>6.9</v>
      </c>
      <c r="O45" s="82">
        <v>12.6</v>
      </c>
      <c r="P45" s="83">
        <v>0.064</v>
      </c>
      <c r="Q45" s="83">
        <v>0.001</v>
      </c>
      <c r="R45" s="82">
        <v>4.2</v>
      </c>
      <c r="S45" s="82">
        <v>0.18</v>
      </c>
      <c r="T45" s="48"/>
      <c r="U45" s="47"/>
      <c r="V45" s="47"/>
      <c r="W45" s="47"/>
    </row>
    <row r="46" spans="1:23" s="72" customFormat="1" ht="23.25" customHeight="1">
      <c r="A46" s="129">
        <v>203</v>
      </c>
      <c r="B46" s="148" t="s">
        <v>92</v>
      </c>
      <c r="C46" s="149"/>
      <c r="D46" s="71">
        <v>150</v>
      </c>
      <c r="E46" s="73">
        <f>5.7*D46/150</f>
        <v>5.7</v>
      </c>
      <c r="F46" s="73">
        <f>3.43*D46/150</f>
        <v>3.43</v>
      </c>
      <c r="G46" s="73">
        <f>36.45*D46/150</f>
        <v>36.45</v>
      </c>
      <c r="H46" s="73">
        <f>E46*4+F46*9+G46*4</f>
        <v>199.47000000000003</v>
      </c>
      <c r="I46" s="73">
        <f>0.09*D46/150</f>
        <v>0.09</v>
      </c>
      <c r="J46" s="73">
        <f>0.03*D46/150</f>
        <v>0.03</v>
      </c>
      <c r="K46" s="73">
        <v>0</v>
      </c>
      <c r="L46" s="74">
        <f>0.03*D46/150</f>
        <v>0.03</v>
      </c>
      <c r="M46" s="73">
        <f>1.25*D46/150</f>
        <v>1.25</v>
      </c>
      <c r="N46" s="73">
        <f>13.28*D46/150</f>
        <v>13.28</v>
      </c>
      <c r="O46" s="73">
        <f>46.21*D46/150</f>
        <v>46.21</v>
      </c>
      <c r="P46" s="73">
        <f>0.78*D46/150</f>
        <v>0.78</v>
      </c>
      <c r="Q46" s="74">
        <f>0.0015*D46/150</f>
        <v>0.0015</v>
      </c>
      <c r="R46" s="73">
        <f>8.47*D46/150</f>
        <v>8.47</v>
      </c>
      <c r="S46" s="73">
        <f>0.86*D46/150</f>
        <v>0.86</v>
      </c>
      <c r="T46" s="75"/>
      <c r="U46" s="76"/>
      <c r="V46" s="76"/>
      <c r="W46" s="76"/>
    </row>
    <row r="47" spans="1:23" s="3" customFormat="1" ht="12" customHeight="1">
      <c r="A47" s="129">
        <v>377</v>
      </c>
      <c r="B47" s="147" t="s">
        <v>45</v>
      </c>
      <c r="C47" s="147"/>
      <c r="D47" s="71" t="s">
        <v>52</v>
      </c>
      <c r="E47" s="73">
        <v>0.26</v>
      </c>
      <c r="F47" s="73">
        <v>0.06</v>
      </c>
      <c r="G47" s="73">
        <v>15.22</v>
      </c>
      <c r="H47" s="73">
        <f>E47*4+F47*9+G47*4</f>
        <v>62.46</v>
      </c>
      <c r="I47" s="73"/>
      <c r="J47" s="73">
        <v>0.01</v>
      </c>
      <c r="K47" s="73">
        <v>2.9</v>
      </c>
      <c r="L47" s="69">
        <v>0</v>
      </c>
      <c r="M47" s="73">
        <v>0.06</v>
      </c>
      <c r="N47" s="73">
        <v>8.05</v>
      </c>
      <c r="O47" s="73">
        <v>9.78</v>
      </c>
      <c r="P47" s="73">
        <v>0.017</v>
      </c>
      <c r="Q47" s="74">
        <v>0</v>
      </c>
      <c r="R47" s="73">
        <v>5.24</v>
      </c>
      <c r="S47" s="73">
        <v>0.87</v>
      </c>
      <c r="T47" s="75"/>
      <c r="U47" s="76"/>
      <c r="V47" s="76"/>
      <c r="W47" s="76"/>
    </row>
    <row r="48" spans="1:23" s="3" customFormat="1" ht="11.25" customHeight="1">
      <c r="A48" s="79" t="s">
        <v>81</v>
      </c>
      <c r="B48" s="148" t="s">
        <v>121</v>
      </c>
      <c r="C48" s="149"/>
      <c r="D48" s="71">
        <v>40</v>
      </c>
      <c r="E48" s="73">
        <f>1.52*D48/30</f>
        <v>2.0266666666666664</v>
      </c>
      <c r="F48" s="74">
        <f>0.16*D48/30</f>
        <v>0.21333333333333335</v>
      </c>
      <c r="G48" s="74">
        <f>9.84*D48/30</f>
        <v>13.120000000000001</v>
      </c>
      <c r="H48" s="74">
        <f>E48*4+F48*9+G48*4</f>
        <v>62.50666666666667</v>
      </c>
      <c r="I48" s="74">
        <f>0.02*D48/30</f>
        <v>0.02666666666666667</v>
      </c>
      <c r="J48" s="74">
        <f>0.01*D48/30</f>
        <v>0.013333333333333334</v>
      </c>
      <c r="K48" s="74">
        <f>0.44*D48/30</f>
        <v>0.5866666666666667</v>
      </c>
      <c r="L48" s="74">
        <v>0</v>
      </c>
      <c r="M48" s="74">
        <f>0.7*D48/30</f>
        <v>0.9333333333333333</v>
      </c>
      <c r="N48" s="74">
        <f>4*D48/30</f>
        <v>5.333333333333333</v>
      </c>
      <c r="O48" s="74">
        <f>13*D48/30</f>
        <v>17.333333333333332</v>
      </c>
      <c r="P48" s="74">
        <f>0.008*D48/30</f>
        <v>0.010666666666666666</v>
      </c>
      <c r="Q48" s="74">
        <f>0.001*D48/30</f>
        <v>0.0013333333333333333</v>
      </c>
      <c r="R48" s="74">
        <v>0</v>
      </c>
      <c r="S48" s="74">
        <f>0.22*D48/30</f>
        <v>0.29333333333333333</v>
      </c>
      <c r="T48" s="30"/>
      <c r="U48" s="31"/>
      <c r="V48" s="31"/>
      <c r="W48" s="31"/>
    </row>
    <row r="49" spans="1:23" s="3" customFormat="1" ht="11.25" customHeight="1">
      <c r="A49" s="62" t="s">
        <v>25</v>
      </c>
      <c r="B49" s="63"/>
      <c r="C49" s="63"/>
      <c r="D49" s="61">
        <f>SUM(D45:D48)</f>
        <v>265</v>
      </c>
      <c r="E49" s="38">
        <f>SUM(E45:E48)</f>
        <v>8.611666666666666</v>
      </c>
      <c r="F49" s="37">
        <f>SUM(F45:F48)</f>
        <v>3.7783333333333338</v>
      </c>
      <c r="G49" s="37">
        <f>SUM(G45:G48)</f>
        <v>66.915</v>
      </c>
      <c r="H49" s="37">
        <f>SUM(H45:H48)</f>
        <v>336.1116666666667</v>
      </c>
      <c r="I49" s="38">
        <f>SUM(I45:I48)</f>
        <v>0.12566666666666665</v>
      </c>
      <c r="J49" s="38">
        <f>SUM(J45:J48)</f>
        <v>0.06333333333333334</v>
      </c>
      <c r="K49" s="38">
        <f>SUM(K45:K48)</f>
        <v>6.486666666666667</v>
      </c>
      <c r="L49" s="38">
        <f>SUM(L45:L48)</f>
        <v>0.033</v>
      </c>
      <c r="M49" s="38">
        <f>SUM(M45:M48)</f>
        <v>2.2733333333333334</v>
      </c>
      <c r="N49" s="38">
        <f>SUM(N45:N48)</f>
        <v>33.56333333333333</v>
      </c>
      <c r="O49" s="38">
        <f>SUM(O45:O48)</f>
        <v>85.92333333333333</v>
      </c>
      <c r="P49" s="39">
        <f>SUM(P45:P48)</f>
        <v>0.8716666666666668</v>
      </c>
      <c r="Q49" s="39">
        <f>SUM(Q45:Q48)</f>
        <v>0.0038333333333333336</v>
      </c>
      <c r="R49" s="37">
        <f>SUM(R45:R48)</f>
        <v>17.910000000000004</v>
      </c>
      <c r="S49" s="38">
        <f>SUM(S45:S48)</f>
        <v>2.2033333333333336</v>
      </c>
      <c r="T49" s="75"/>
      <c r="U49" s="76"/>
      <c r="V49" s="76"/>
      <c r="W49" s="76"/>
    </row>
    <row r="50" spans="1:23" s="3" customFormat="1" ht="11.25" customHeight="1">
      <c r="A50" s="154" t="s">
        <v>68</v>
      </c>
      <c r="B50" s="155"/>
      <c r="C50" s="155"/>
      <c r="D50" s="156"/>
      <c r="E50" s="123">
        <f aca="true" t="shared" si="8" ref="E50:S50">E49/E68</f>
        <v>0.11183982683982684</v>
      </c>
      <c r="F50" s="124">
        <f t="shared" si="8"/>
        <v>0.04782700421940929</v>
      </c>
      <c r="G50" s="124">
        <f t="shared" si="8"/>
        <v>0.19974626865671644</v>
      </c>
      <c r="H50" s="124">
        <f t="shared" si="8"/>
        <v>0.1430262411347518</v>
      </c>
      <c r="I50" s="124">
        <f t="shared" si="8"/>
        <v>0.10472222222222222</v>
      </c>
      <c r="J50" s="124">
        <f t="shared" si="8"/>
        <v>0.045238095238095244</v>
      </c>
      <c r="K50" s="124">
        <f t="shared" si="8"/>
        <v>0.10811111111111112</v>
      </c>
      <c r="L50" s="124">
        <f t="shared" si="8"/>
        <v>0.047142857142857146</v>
      </c>
      <c r="M50" s="124">
        <f t="shared" si="8"/>
        <v>0.22733333333333333</v>
      </c>
      <c r="N50" s="124">
        <f t="shared" si="8"/>
        <v>0.030512121212121213</v>
      </c>
      <c r="O50" s="124">
        <f t="shared" si="8"/>
        <v>0.07811212121212122</v>
      </c>
      <c r="P50" s="124">
        <f t="shared" si="8"/>
        <v>0.08716666666666668</v>
      </c>
      <c r="Q50" s="124">
        <f t="shared" si="8"/>
        <v>0.03833333333333333</v>
      </c>
      <c r="R50" s="124">
        <f t="shared" si="8"/>
        <v>0.07164000000000001</v>
      </c>
      <c r="S50" s="124">
        <f t="shared" si="8"/>
        <v>0.18361111111111114</v>
      </c>
      <c r="T50" s="37"/>
      <c r="U50" s="47"/>
      <c r="V50" s="47"/>
      <c r="W50" s="47"/>
    </row>
    <row r="51" spans="1:23" s="3" customFormat="1" ht="11.25" customHeight="1">
      <c r="A51" s="86" t="s">
        <v>89</v>
      </c>
      <c r="B51" s="87"/>
      <c r="C51" s="87"/>
      <c r="D51" s="112"/>
      <c r="E51" s="122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48"/>
      <c r="U51" s="47"/>
      <c r="V51" s="47"/>
      <c r="W51" s="47"/>
    </row>
    <row r="52" spans="1:23" s="3" customFormat="1" ht="11.25" customHeight="1">
      <c r="A52" s="162" t="s">
        <v>28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4"/>
      <c r="T52" s="11"/>
      <c r="U52" s="24"/>
      <c r="V52" s="24"/>
      <c r="W52" s="24"/>
    </row>
    <row r="53" spans="1:23" s="3" customFormat="1" ht="11.25" customHeight="1">
      <c r="A53" s="129">
        <v>56</v>
      </c>
      <c r="B53" s="147" t="s">
        <v>44</v>
      </c>
      <c r="C53" s="147"/>
      <c r="D53" s="71">
        <v>60</v>
      </c>
      <c r="E53" s="73">
        <v>0.9</v>
      </c>
      <c r="F53" s="70">
        <v>3.1</v>
      </c>
      <c r="G53" s="70">
        <v>5.6</v>
      </c>
      <c r="H53" s="73">
        <f>E53*4+F53*9+G53*4</f>
        <v>53.900000000000006</v>
      </c>
      <c r="I53" s="69">
        <v>0.1</v>
      </c>
      <c r="J53" s="69">
        <v>0.1</v>
      </c>
      <c r="K53" s="70">
        <v>12.3</v>
      </c>
      <c r="L53" s="69">
        <v>0.02</v>
      </c>
      <c r="M53" s="69">
        <v>0.5</v>
      </c>
      <c r="N53" s="70">
        <v>59.9</v>
      </c>
      <c r="O53" s="70">
        <v>31.3</v>
      </c>
      <c r="P53" s="77">
        <v>0.4228</v>
      </c>
      <c r="Q53" s="74">
        <v>0.003</v>
      </c>
      <c r="R53" s="70">
        <v>16.3</v>
      </c>
      <c r="S53" s="73">
        <v>0.7</v>
      </c>
      <c r="T53" s="75"/>
      <c r="U53" s="76"/>
      <c r="V53" s="76"/>
      <c r="W53" s="76"/>
    </row>
    <row r="54" spans="1:23" s="1" customFormat="1" ht="11.25" customHeight="1">
      <c r="A54" s="129">
        <v>96</v>
      </c>
      <c r="B54" s="148" t="s">
        <v>107</v>
      </c>
      <c r="C54" s="149"/>
      <c r="D54" s="71">
        <v>200</v>
      </c>
      <c r="E54" s="73">
        <f>2.6*D54/250</f>
        <v>2.08</v>
      </c>
      <c r="F54" s="70">
        <f>6.13*D54/250</f>
        <v>4.904</v>
      </c>
      <c r="G54" s="70">
        <f>17.03*D54/250</f>
        <v>13.624</v>
      </c>
      <c r="H54" s="73">
        <f>E54*4+F54*9+G54*4</f>
        <v>106.952</v>
      </c>
      <c r="I54" s="73">
        <f>0.123*D54/250</f>
        <v>0.0984</v>
      </c>
      <c r="J54" s="74">
        <f>0.074*D54/250</f>
        <v>0.059199999999999996</v>
      </c>
      <c r="K54" s="70">
        <f>16.03*D54/250</f>
        <v>12.824</v>
      </c>
      <c r="L54" s="73">
        <f>0.035*D54/250</f>
        <v>0.028000000000000004</v>
      </c>
      <c r="M54" s="69">
        <v>0</v>
      </c>
      <c r="N54" s="70">
        <f>25.3*D54/250</f>
        <v>20.24</v>
      </c>
      <c r="O54" s="70">
        <f>71.05*D54/250</f>
        <v>56.84</v>
      </c>
      <c r="P54" s="71">
        <v>0</v>
      </c>
      <c r="Q54" s="71">
        <v>0</v>
      </c>
      <c r="R54" s="70">
        <f>26.725*D54/250</f>
        <v>21.38</v>
      </c>
      <c r="S54" s="73">
        <f>0.95*D54/250</f>
        <v>0.76</v>
      </c>
      <c r="T54" s="37"/>
      <c r="U54" s="47"/>
      <c r="V54" s="47"/>
      <c r="W54" s="47"/>
    </row>
    <row r="55" spans="1:23" s="1" customFormat="1" ht="11.25" customHeight="1">
      <c r="A55" s="68">
        <v>268</v>
      </c>
      <c r="B55" s="148" t="s">
        <v>106</v>
      </c>
      <c r="C55" s="149"/>
      <c r="D55" s="81">
        <v>90</v>
      </c>
      <c r="E55" s="130">
        <f>14.8*D55/80</f>
        <v>16.65</v>
      </c>
      <c r="F55" s="130">
        <f>20.69*D55/80</f>
        <v>23.27625</v>
      </c>
      <c r="G55" s="130">
        <f>3.81*D55/80</f>
        <v>4.28625</v>
      </c>
      <c r="H55" s="130">
        <f>E55*4+F55*9+G55*4</f>
        <v>293.23125</v>
      </c>
      <c r="I55" s="83">
        <f>0.18*D55/80</f>
        <v>0.20249999999999999</v>
      </c>
      <c r="J55" s="130">
        <f>0.12*D55/80</f>
        <v>0.13499999999999998</v>
      </c>
      <c r="K55" s="130">
        <f>0.43*D55/80</f>
        <v>0.48375</v>
      </c>
      <c r="L55" s="83">
        <f>0.04*D55/80</f>
        <v>0.045</v>
      </c>
      <c r="M55" s="83">
        <f>0.01*D55/80</f>
        <v>0.01125</v>
      </c>
      <c r="N55" s="130">
        <f>48.45*D55/80</f>
        <v>54.50625</v>
      </c>
      <c r="O55" s="130">
        <f>177.9*D55/80</f>
        <v>200.1375</v>
      </c>
      <c r="P55" s="83">
        <f>2.28*D55/80</f>
        <v>2.565</v>
      </c>
      <c r="Q55" s="83">
        <f>0.04*D55/80</f>
        <v>0.045</v>
      </c>
      <c r="R55" s="130">
        <f>24.45*D55/80</f>
        <v>27.50625</v>
      </c>
      <c r="S55" s="130">
        <f>1.93*D55/80</f>
        <v>2.1712499999999997</v>
      </c>
      <c r="T55" s="50"/>
      <c r="U55" s="40"/>
      <c r="V55" s="40"/>
      <c r="W55" s="40"/>
    </row>
    <row r="56" spans="1:23" s="1" customFormat="1" ht="11.25" customHeight="1">
      <c r="A56" s="79">
        <v>312</v>
      </c>
      <c r="B56" s="148" t="s">
        <v>47</v>
      </c>
      <c r="C56" s="149"/>
      <c r="D56" s="71">
        <v>150</v>
      </c>
      <c r="E56" s="73">
        <f>D56*3.29/150</f>
        <v>3.29</v>
      </c>
      <c r="F56" s="73">
        <f>D56*7.06/150</f>
        <v>7.06</v>
      </c>
      <c r="G56" s="73">
        <f>D56*22.21/150</f>
        <v>22.21</v>
      </c>
      <c r="H56" s="73">
        <f>E56*4+F56*9+G56*4</f>
        <v>165.54000000000002</v>
      </c>
      <c r="I56" s="73">
        <f>D56*0.16/150</f>
        <v>0.16</v>
      </c>
      <c r="J56" s="73">
        <f>D56*0.13/150</f>
        <v>0.13</v>
      </c>
      <c r="K56" s="73">
        <f>D56*0.73/150</f>
        <v>0.73</v>
      </c>
      <c r="L56" s="74">
        <f>D56*0.08/150</f>
        <v>0.08</v>
      </c>
      <c r="M56" s="69">
        <f>1.5*D56/150</f>
        <v>1.5</v>
      </c>
      <c r="N56" s="73">
        <f>D56*42.54/150</f>
        <v>42.54</v>
      </c>
      <c r="O56" s="70">
        <f>D56*97.75/150</f>
        <v>97.75</v>
      </c>
      <c r="P56" s="74">
        <f>0.299*D56/150</f>
        <v>0.299</v>
      </c>
      <c r="Q56" s="74">
        <f>0.001*D56/150</f>
        <v>0.001</v>
      </c>
      <c r="R56" s="73">
        <f>D56*33.06/150</f>
        <v>33.06</v>
      </c>
      <c r="S56" s="73">
        <f>D56*1.19/150</f>
        <v>1.19</v>
      </c>
      <c r="T56" s="75"/>
      <c r="U56" s="76"/>
      <c r="V56" s="76"/>
      <c r="W56" s="76"/>
    </row>
    <row r="57" spans="1:23" s="1" customFormat="1" ht="11.25" customHeight="1">
      <c r="A57" s="79">
        <v>389</v>
      </c>
      <c r="B57" s="148" t="s">
        <v>104</v>
      </c>
      <c r="C57" s="149"/>
      <c r="D57" s="71">
        <v>200</v>
      </c>
      <c r="E57" s="73">
        <v>1</v>
      </c>
      <c r="F57" s="69">
        <v>0.2</v>
      </c>
      <c r="G57" s="73">
        <v>20.2</v>
      </c>
      <c r="H57" s="73">
        <v>86.6</v>
      </c>
      <c r="I57" s="69">
        <v>0.02</v>
      </c>
      <c r="J57" s="69">
        <v>0.02</v>
      </c>
      <c r="K57" s="73">
        <v>4.8</v>
      </c>
      <c r="L57" s="69">
        <v>0</v>
      </c>
      <c r="M57" s="69">
        <v>0</v>
      </c>
      <c r="N57" s="70">
        <v>14</v>
      </c>
      <c r="O57" s="70">
        <v>18</v>
      </c>
      <c r="P57" s="71">
        <v>0.03</v>
      </c>
      <c r="Q57" s="71">
        <v>0</v>
      </c>
      <c r="R57" s="70">
        <v>8</v>
      </c>
      <c r="S57" s="73">
        <v>0.72</v>
      </c>
      <c r="T57" s="12"/>
      <c r="U57" s="19"/>
      <c r="V57" s="19"/>
      <c r="W57" s="19"/>
    </row>
    <row r="58" spans="1:23" s="1" customFormat="1" ht="11.25" customHeight="1">
      <c r="A58" s="80" t="s">
        <v>81</v>
      </c>
      <c r="B58" s="148" t="s">
        <v>46</v>
      </c>
      <c r="C58" s="149"/>
      <c r="D58" s="71">
        <v>40</v>
      </c>
      <c r="E58" s="73">
        <f>2.64*D58/40</f>
        <v>2.64</v>
      </c>
      <c r="F58" s="73">
        <f>0.48*D58/40</f>
        <v>0.48</v>
      </c>
      <c r="G58" s="73">
        <f>13.68*D58/40</f>
        <v>13.680000000000001</v>
      </c>
      <c r="H58" s="70">
        <f>E58*4+F58*9+G58*4</f>
        <v>69.60000000000001</v>
      </c>
      <c r="I58" s="69">
        <f>0.08*D58/40</f>
        <v>0.08</v>
      </c>
      <c r="J58" s="73">
        <f>0.04*D58/40</f>
        <v>0.04</v>
      </c>
      <c r="K58" s="71">
        <v>0</v>
      </c>
      <c r="L58" s="71">
        <v>0</v>
      </c>
      <c r="M58" s="73">
        <f>2.4*D58/40</f>
        <v>2.4</v>
      </c>
      <c r="N58" s="73">
        <f>14*D58/40</f>
        <v>14</v>
      </c>
      <c r="O58" s="73">
        <f>63.2*D58/40</f>
        <v>63.2</v>
      </c>
      <c r="P58" s="73">
        <f>1.2*D58/40</f>
        <v>1.2</v>
      </c>
      <c r="Q58" s="74">
        <f>0.001*D58/40</f>
        <v>0.001</v>
      </c>
      <c r="R58" s="73">
        <f>9.4*D58/40</f>
        <v>9.4</v>
      </c>
      <c r="S58" s="69">
        <f>0.78*D58/40</f>
        <v>0.78</v>
      </c>
      <c r="T58" s="12"/>
      <c r="U58" s="19"/>
      <c r="V58" s="19"/>
      <c r="W58" s="19"/>
    </row>
    <row r="59" spans="1:23" s="1" customFormat="1" ht="11.25" customHeight="1">
      <c r="A59" s="62" t="s">
        <v>29</v>
      </c>
      <c r="B59" s="63"/>
      <c r="C59" s="63"/>
      <c r="D59" s="61">
        <v>790</v>
      </c>
      <c r="E59" s="38">
        <f>SUM(E54:E58)</f>
        <v>25.659999999999997</v>
      </c>
      <c r="F59" s="37">
        <f>SUM(F54:F58)</f>
        <v>35.92025</v>
      </c>
      <c r="G59" s="37">
        <f>SUM(G54:G58)</f>
        <v>74.00025000000001</v>
      </c>
      <c r="H59" s="37">
        <f>SUM(H54:H58)</f>
        <v>721.92325</v>
      </c>
      <c r="I59" s="38">
        <f aca="true" t="shared" si="9" ref="I59:S59">SUM(I54:I58)</f>
        <v>0.5609</v>
      </c>
      <c r="J59" s="38">
        <f t="shared" si="9"/>
        <v>0.3842</v>
      </c>
      <c r="K59" s="38">
        <f t="shared" si="9"/>
        <v>18.83775</v>
      </c>
      <c r="L59" s="38">
        <f t="shared" si="9"/>
        <v>0.15300000000000002</v>
      </c>
      <c r="M59" s="38">
        <f t="shared" si="9"/>
        <v>3.91125</v>
      </c>
      <c r="N59" s="38">
        <f t="shared" si="9"/>
        <v>145.28625</v>
      </c>
      <c r="O59" s="38">
        <f t="shared" si="9"/>
        <v>435.92749999999995</v>
      </c>
      <c r="P59" s="38">
        <f t="shared" si="9"/>
        <v>4.093999999999999</v>
      </c>
      <c r="Q59" s="39">
        <f t="shared" si="9"/>
        <v>0.047</v>
      </c>
      <c r="R59" s="38">
        <f t="shared" si="9"/>
        <v>99.34625000000001</v>
      </c>
      <c r="S59" s="38">
        <f t="shared" si="9"/>
        <v>5.62125</v>
      </c>
      <c r="T59" s="13"/>
      <c r="U59" s="25"/>
      <c r="V59" s="25"/>
      <c r="W59" s="25"/>
    </row>
    <row r="60" spans="1:23" s="1" customFormat="1" ht="11.25" customHeight="1">
      <c r="A60" s="154" t="s">
        <v>68</v>
      </c>
      <c r="B60" s="155"/>
      <c r="C60" s="155"/>
      <c r="D60" s="156"/>
      <c r="E60" s="123">
        <f>E59/E68</f>
        <v>0.3332467532467532</v>
      </c>
      <c r="F60" s="121">
        <f aca="true" t="shared" si="10" ref="F60:S60">F59/F68</f>
        <v>0.4546867088607595</v>
      </c>
      <c r="G60" s="121">
        <f t="shared" si="10"/>
        <v>0.22089626865671644</v>
      </c>
      <c r="H60" s="121">
        <f t="shared" si="10"/>
        <v>0.3072013829787234</v>
      </c>
      <c r="I60" s="121">
        <f t="shared" si="10"/>
        <v>0.46741666666666665</v>
      </c>
      <c r="J60" s="121">
        <f t="shared" si="10"/>
        <v>0.2744285714285714</v>
      </c>
      <c r="K60" s="121">
        <f t="shared" si="10"/>
        <v>0.3139625</v>
      </c>
      <c r="L60" s="121">
        <f t="shared" si="10"/>
        <v>0.2185714285714286</v>
      </c>
      <c r="M60" s="121">
        <f t="shared" si="10"/>
        <v>0.391125</v>
      </c>
      <c r="N60" s="121">
        <f t="shared" si="10"/>
        <v>0.1320784090909091</v>
      </c>
      <c r="O60" s="121">
        <f t="shared" si="10"/>
        <v>0.3962977272727272</v>
      </c>
      <c r="P60" s="121">
        <f t="shared" si="10"/>
        <v>0.40939999999999993</v>
      </c>
      <c r="Q60" s="121">
        <f t="shared" si="10"/>
        <v>0.47</v>
      </c>
      <c r="R60" s="121">
        <f t="shared" si="10"/>
        <v>0.39738500000000004</v>
      </c>
      <c r="S60" s="121">
        <f t="shared" si="10"/>
        <v>0.4684375</v>
      </c>
      <c r="T60" s="14"/>
      <c r="U60" s="20"/>
      <c r="V60" s="20"/>
      <c r="W60" s="20"/>
    </row>
    <row r="61" spans="1:23" s="1" customFormat="1" ht="1.5" customHeight="1">
      <c r="A61" s="162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4"/>
      <c r="T61" s="15"/>
      <c r="U61" s="21"/>
      <c r="V61" s="21"/>
      <c r="W61" s="21"/>
    </row>
    <row r="62" spans="1:23" s="1" customFormat="1" ht="21.75" customHeight="1" hidden="1">
      <c r="A62" s="67"/>
      <c r="B62" s="148"/>
      <c r="C62" s="149"/>
      <c r="D62" s="71"/>
      <c r="E62" s="73"/>
      <c r="F62" s="73"/>
      <c r="G62" s="73"/>
      <c r="H62" s="73"/>
      <c r="I62" s="73"/>
      <c r="J62" s="73"/>
      <c r="K62" s="73"/>
      <c r="L62" s="73"/>
      <c r="M62" s="69"/>
      <c r="N62" s="73"/>
      <c r="O62" s="73"/>
      <c r="P62" s="74"/>
      <c r="Q62" s="73"/>
      <c r="R62" s="73"/>
      <c r="S62" s="73"/>
      <c r="T62" s="9"/>
      <c r="U62" s="22"/>
      <c r="V62" s="22"/>
      <c r="W62" s="22"/>
    </row>
    <row r="63" spans="1:23" s="1" customFormat="1" ht="14.25" customHeight="1" hidden="1">
      <c r="A63" s="114"/>
      <c r="B63" s="147"/>
      <c r="C63" s="147"/>
      <c r="D63" s="71"/>
      <c r="E63" s="73"/>
      <c r="F63" s="70"/>
      <c r="G63" s="70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9"/>
      <c r="U63" s="22"/>
      <c r="V63" s="22"/>
      <c r="W63" s="22"/>
    </row>
    <row r="64" spans="1:23" s="1" customFormat="1" ht="11.25" customHeight="1" hidden="1">
      <c r="A64" s="114"/>
      <c r="B64" s="148"/>
      <c r="C64" s="149"/>
      <c r="D64" s="71"/>
      <c r="E64" s="73"/>
      <c r="F64" s="73"/>
      <c r="G64" s="73"/>
      <c r="H64" s="73"/>
      <c r="I64" s="69"/>
      <c r="J64" s="69"/>
      <c r="K64" s="70"/>
      <c r="L64" s="69"/>
      <c r="M64" s="69"/>
      <c r="N64" s="70"/>
      <c r="O64" s="70"/>
      <c r="P64" s="70"/>
      <c r="Q64" s="70"/>
      <c r="R64" s="70"/>
      <c r="S64" s="73"/>
      <c r="T64" s="10"/>
      <c r="U64" s="23"/>
      <c r="V64" s="23"/>
      <c r="W64" s="23"/>
    </row>
    <row r="65" spans="1:23" s="1" customFormat="1" ht="11.25" customHeight="1" hidden="1">
      <c r="A65" s="62"/>
      <c r="B65" s="63"/>
      <c r="C65" s="63"/>
      <c r="D65" s="66"/>
      <c r="E65" s="38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11"/>
      <c r="U65" s="24"/>
      <c r="V65" s="24"/>
      <c r="W65" s="24"/>
    </row>
    <row r="66" spans="1:23" s="3" customFormat="1" ht="11.25" customHeight="1">
      <c r="A66" s="154"/>
      <c r="B66" s="155"/>
      <c r="C66" s="155"/>
      <c r="D66" s="156"/>
      <c r="E66" s="123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1"/>
      <c r="U66" s="24"/>
      <c r="V66" s="24"/>
      <c r="W66" s="24"/>
    </row>
    <row r="67" spans="1:23" s="3" customFormat="1" ht="11.25" customHeight="1">
      <c r="A67" s="154" t="s">
        <v>67</v>
      </c>
      <c r="B67" s="155"/>
      <c r="C67" s="155"/>
      <c r="D67" s="156"/>
      <c r="E67" s="38">
        <f aca="true" t="shared" si="11" ref="E67:S67">SUM(E49,E59,E65)</f>
        <v>34.27166666666666</v>
      </c>
      <c r="F67" s="37">
        <f t="shared" si="11"/>
        <v>39.69858333333334</v>
      </c>
      <c r="G67" s="37">
        <f t="shared" si="11"/>
        <v>140.91525000000001</v>
      </c>
      <c r="H67" s="37">
        <f t="shared" si="11"/>
        <v>1058.0349166666667</v>
      </c>
      <c r="I67" s="38">
        <f t="shared" si="11"/>
        <v>0.6865666666666665</v>
      </c>
      <c r="J67" s="38">
        <f t="shared" si="11"/>
        <v>0.44753333333333334</v>
      </c>
      <c r="K67" s="49">
        <f t="shared" si="11"/>
        <v>25.324416666666668</v>
      </c>
      <c r="L67" s="38">
        <f t="shared" si="11"/>
        <v>0.18600000000000003</v>
      </c>
      <c r="M67" s="49">
        <f t="shared" si="11"/>
        <v>6.184583333333333</v>
      </c>
      <c r="N67" s="37">
        <f t="shared" si="11"/>
        <v>178.84958333333333</v>
      </c>
      <c r="O67" s="38">
        <f t="shared" si="11"/>
        <v>521.8508333333333</v>
      </c>
      <c r="P67" s="37">
        <f t="shared" si="11"/>
        <v>4.9656666666666665</v>
      </c>
      <c r="Q67" s="39">
        <f t="shared" si="11"/>
        <v>0.050833333333333335</v>
      </c>
      <c r="R67" s="38">
        <f t="shared" si="11"/>
        <v>117.25625000000002</v>
      </c>
      <c r="S67" s="38">
        <f t="shared" si="11"/>
        <v>7.824583333333333</v>
      </c>
      <c r="T67" s="75"/>
      <c r="U67" s="76"/>
      <c r="V67" s="76"/>
      <c r="W67" s="76"/>
    </row>
    <row r="68" spans="1:23" s="3" customFormat="1" ht="21" customHeight="1">
      <c r="A68" s="154" t="s">
        <v>69</v>
      </c>
      <c r="B68" s="155"/>
      <c r="C68" s="155"/>
      <c r="D68" s="156"/>
      <c r="E68" s="73">
        <v>77</v>
      </c>
      <c r="F68" s="70">
        <v>79</v>
      </c>
      <c r="G68" s="70">
        <v>335</v>
      </c>
      <c r="H68" s="70">
        <v>2350</v>
      </c>
      <c r="I68" s="73">
        <v>1.2</v>
      </c>
      <c r="J68" s="73">
        <v>1.4</v>
      </c>
      <c r="K68" s="71">
        <v>60</v>
      </c>
      <c r="L68" s="73">
        <v>0.7</v>
      </c>
      <c r="M68" s="71">
        <v>10</v>
      </c>
      <c r="N68" s="71">
        <v>1100</v>
      </c>
      <c r="O68" s="71">
        <v>1100</v>
      </c>
      <c r="P68" s="71">
        <v>10</v>
      </c>
      <c r="Q68" s="70">
        <v>0.1</v>
      </c>
      <c r="R68" s="71">
        <v>250</v>
      </c>
      <c r="S68" s="73">
        <v>12</v>
      </c>
      <c r="T68" s="53"/>
      <c r="U68" s="34"/>
      <c r="V68" s="34"/>
      <c r="W68" s="34"/>
    </row>
    <row r="69" spans="1:23" s="3" customFormat="1" ht="13.5" customHeight="1">
      <c r="A69" s="178" t="s">
        <v>68</v>
      </c>
      <c r="B69" s="179"/>
      <c r="C69" s="179"/>
      <c r="D69" s="180"/>
      <c r="E69" s="78">
        <f aca="true" t="shared" si="12" ref="E69:S69">E67/E68</f>
        <v>0.44508658008658003</v>
      </c>
      <c r="F69" s="43">
        <f t="shared" si="12"/>
        <v>0.5025137130801689</v>
      </c>
      <c r="G69" s="43">
        <f t="shared" si="12"/>
        <v>0.4206425373134329</v>
      </c>
      <c r="H69" s="43">
        <f t="shared" si="12"/>
        <v>0.4502276241134752</v>
      </c>
      <c r="I69" s="43">
        <f t="shared" si="12"/>
        <v>0.5721388888888889</v>
      </c>
      <c r="J69" s="43">
        <f t="shared" si="12"/>
        <v>0.3196666666666667</v>
      </c>
      <c r="K69" s="43">
        <f t="shared" si="12"/>
        <v>0.42207361111111114</v>
      </c>
      <c r="L69" s="44">
        <f t="shared" si="12"/>
        <v>0.2657142857142858</v>
      </c>
      <c r="M69" s="44">
        <f t="shared" si="12"/>
        <v>0.6184583333333333</v>
      </c>
      <c r="N69" s="43">
        <f t="shared" si="12"/>
        <v>0.1625905303030303</v>
      </c>
      <c r="O69" s="43">
        <f t="shared" si="12"/>
        <v>0.47440984848484846</v>
      </c>
      <c r="P69" s="43">
        <f t="shared" si="12"/>
        <v>0.49656666666666666</v>
      </c>
      <c r="Q69" s="44">
        <f t="shared" si="12"/>
        <v>0.5083333333333333</v>
      </c>
      <c r="R69" s="43">
        <f t="shared" si="12"/>
        <v>0.4690250000000001</v>
      </c>
      <c r="S69" s="43">
        <f t="shared" si="12"/>
        <v>0.6520486111111111</v>
      </c>
      <c r="T69" s="75"/>
      <c r="U69" s="76"/>
      <c r="V69" s="76"/>
      <c r="W69" s="76"/>
    </row>
    <row r="70" spans="1:23" s="3" customFormat="1" ht="12.75" customHeight="1">
      <c r="A70" s="56" t="s">
        <v>103</v>
      </c>
      <c r="B70" s="56"/>
      <c r="C70" s="115"/>
      <c r="D70" s="115"/>
      <c r="E70" s="105"/>
      <c r="F70" s="72"/>
      <c r="G70" s="2"/>
      <c r="H70" s="2"/>
      <c r="I70" s="72"/>
      <c r="J70" s="72"/>
      <c r="K70" s="72"/>
      <c r="L70" s="174" t="s">
        <v>80</v>
      </c>
      <c r="M70" s="174"/>
      <c r="N70" s="174"/>
      <c r="O70" s="174"/>
      <c r="P70" s="174"/>
      <c r="Q70" s="174"/>
      <c r="R70" s="174"/>
      <c r="S70" s="174"/>
      <c r="T70" s="75"/>
      <c r="U70" s="76"/>
      <c r="V70" s="76"/>
      <c r="W70" s="76"/>
    </row>
    <row r="71" spans="1:23" s="3" customFormat="1" ht="14.25" customHeight="1">
      <c r="A71" s="56"/>
      <c r="B71" s="56"/>
      <c r="C71" s="115"/>
      <c r="D71" s="115"/>
      <c r="E71" s="105"/>
      <c r="F71" s="72"/>
      <c r="G71" s="2"/>
      <c r="H71" s="2"/>
      <c r="I71" s="72"/>
      <c r="J71" s="72"/>
      <c r="K71" s="72"/>
      <c r="L71" s="116"/>
      <c r="M71" s="116"/>
      <c r="N71" s="116"/>
      <c r="O71" s="116"/>
      <c r="P71" s="116"/>
      <c r="Q71" s="116"/>
      <c r="R71" s="116"/>
      <c r="S71" s="116"/>
      <c r="T71" s="37"/>
      <c r="U71" s="40"/>
      <c r="V71" s="40"/>
      <c r="W71" s="40"/>
    </row>
    <row r="72" spans="1:23" s="3" customFormat="1" ht="14.25" customHeight="1">
      <c r="A72" s="186" t="s">
        <v>32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48"/>
      <c r="U72" s="40"/>
      <c r="V72" s="40"/>
      <c r="W72" s="40"/>
    </row>
    <row r="73" spans="1:23" s="3" customFormat="1" ht="11.25" customHeight="1">
      <c r="A73" s="60" t="s">
        <v>60</v>
      </c>
      <c r="B73" s="56"/>
      <c r="C73" s="56"/>
      <c r="D73" s="2"/>
      <c r="E73" s="35"/>
      <c r="F73" s="175" t="s">
        <v>33</v>
      </c>
      <c r="G73" s="175"/>
      <c r="H73" s="175"/>
      <c r="I73" s="72"/>
      <c r="J73" s="72"/>
      <c r="K73" s="171" t="s">
        <v>2</v>
      </c>
      <c r="L73" s="171"/>
      <c r="M73" s="168" t="s">
        <v>77</v>
      </c>
      <c r="N73" s="168"/>
      <c r="O73" s="168"/>
      <c r="P73" s="168"/>
      <c r="Q73" s="72"/>
      <c r="R73" s="72"/>
      <c r="S73" s="72"/>
      <c r="T73" s="11"/>
      <c r="U73" s="24"/>
      <c r="V73" s="24"/>
      <c r="W73" s="24"/>
    </row>
    <row r="74" spans="1:23" s="72" customFormat="1" ht="11.25" customHeight="1">
      <c r="A74" s="56"/>
      <c r="B74" s="56"/>
      <c r="C74" s="56"/>
      <c r="D74" s="189" t="s">
        <v>3</v>
      </c>
      <c r="E74" s="189"/>
      <c r="F74" s="7">
        <v>1</v>
      </c>
      <c r="H74" s="2"/>
      <c r="I74" s="2"/>
      <c r="J74" s="2"/>
      <c r="K74" s="189" t="s">
        <v>4</v>
      </c>
      <c r="L74" s="189"/>
      <c r="M74" s="185" t="s">
        <v>61</v>
      </c>
      <c r="N74" s="185"/>
      <c r="O74" s="185"/>
      <c r="P74" s="185"/>
      <c r="Q74" s="185"/>
      <c r="R74" s="185"/>
      <c r="S74" s="185"/>
      <c r="T74" s="11"/>
      <c r="U74" s="24"/>
      <c r="V74" s="24"/>
      <c r="W74" s="24"/>
    </row>
    <row r="75" spans="1:23" s="35" customFormat="1" ht="21.75" customHeight="1">
      <c r="A75" s="169" t="s">
        <v>5</v>
      </c>
      <c r="B75" s="187" t="s">
        <v>6</v>
      </c>
      <c r="C75" s="188"/>
      <c r="D75" s="169" t="s">
        <v>7</v>
      </c>
      <c r="E75" s="165" t="s">
        <v>8</v>
      </c>
      <c r="F75" s="166"/>
      <c r="G75" s="167"/>
      <c r="H75" s="169" t="s">
        <v>9</v>
      </c>
      <c r="I75" s="165" t="s">
        <v>10</v>
      </c>
      <c r="J75" s="166"/>
      <c r="K75" s="166"/>
      <c r="L75" s="166"/>
      <c r="M75" s="167"/>
      <c r="N75" s="165" t="s">
        <v>11</v>
      </c>
      <c r="O75" s="166"/>
      <c r="P75" s="166"/>
      <c r="Q75" s="166"/>
      <c r="R75" s="166"/>
      <c r="S75" s="167"/>
      <c r="T75" s="75"/>
      <c r="U75" s="76"/>
      <c r="V75" s="76"/>
      <c r="W75" s="76"/>
    </row>
    <row r="76" spans="1:23" s="3" customFormat="1" ht="22.5" customHeight="1">
      <c r="A76" s="170"/>
      <c r="B76" s="172"/>
      <c r="C76" s="173"/>
      <c r="D76" s="170"/>
      <c r="E76" s="103" t="s">
        <v>12</v>
      </c>
      <c r="F76" s="117" t="s">
        <v>13</v>
      </c>
      <c r="G76" s="117" t="s">
        <v>14</v>
      </c>
      <c r="H76" s="170"/>
      <c r="I76" s="117" t="s">
        <v>15</v>
      </c>
      <c r="J76" s="117" t="s">
        <v>62</v>
      </c>
      <c r="K76" s="117" t="s">
        <v>16</v>
      </c>
      <c r="L76" s="117" t="s">
        <v>17</v>
      </c>
      <c r="M76" s="117" t="s">
        <v>18</v>
      </c>
      <c r="N76" s="117" t="s">
        <v>19</v>
      </c>
      <c r="O76" s="117" t="s">
        <v>20</v>
      </c>
      <c r="P76" s="117" t="s">
        <v>63</v>
      </c>
      <c r="Q76" s="117" t="s">
        <v>64</v>
      </c>
      <c r="R76" s="117" t="s">
        <v>21</v>
      </c>
      <c r="S76" s="117" t="s">
        <v>22</v>
      </c>
      <c r="T76" s="75"/>
      <c r="U76" s="76"/>
      <c r="V76" s="76"/>
      <c r="W76" s="76"/>
    </row>
    <row r="77" spans="1:23" s="3" customFormat="1" ht="11.25" customHeight="1">
      <c r="A77" s="114">
        <v>1</v>
      </c>
      <c r="B77" s="157">
        <v>2</v>
      </c>
      <c r="C77" s="158"/>
      <c r="D77" s="36">
        <v>3</v>
      </c>
      <c r="E77" s="104">
        <v>4</v>
      </c>
      <c r="F77" s="36">
        <v>5</v>
      </c>
      <c r="G77" s="36">
        <v>6</v>
      </c>
      <c r="H77" s="36">
        <v>7</v>
      </c>
      <c r="I77" s="36">
        <v>8</v>
      </c>
      <c r="J77" s="36">
        <v>9</v>
      </c>
      <c r="K77" s="36">
        <v>10</v>
      </c>
      <c r="L77" s="36">
        <v>11</v>
      </c>
      <c r="M77" s="36">
        <v>12</v>
      </c>
      <c r="N77" s="36">
        <v>13</v>
      </c>
      <c r="O77" s="36">
        <v>14</v>
      </c>
      <c r="P77" s="36">
        <v>15</v>
      </c>
      <c r="Q77" s="36">
        <v>16</v>
      </c>
      <c r="R77" s="36">
        <v>17</v>
      </c>
      <c r="S77" s="36">
        <v>18</v>
      </c>
      <c r="T77" s="75"/>
      <c r="U77" s="76"/>
      <c r="V77" s="76"/>
      <c r="W77" s="76"/>
    </row>
    <row r="78" spans="1:23" s="3" customFormat="1" ht="12" customHeight="1">
      <c r="A78" s="159" t="str">
        <f>'[1]TDSheet'!A309</f>
        <v>Завтрак молочный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1"/>
      <c r="T78" s="75"/>
      <c r="U78" s="76"/>
      <c r="V78" s="76"/>
      <c r="W78" s="76"/>
    </row>
    <row r="79" spans="1:23" s="3" customFormat="1" ht="11.25" customHeight="1">
      <c r="A79" s="119">
        <v>338</v>
      </c>
      <c r="B79" s="147" t="s">
        <v>74</v>
      </c>
      <c r="C79" s="147"/>
      <c r="D79" s="71">
        <v>100</v>
      </c>
      <c r="E79" s="73">
        <v>0.4</v>
      </c>
      <c r="F79" s="69">
        <v>0.4</v>
      </c>
      <c r="G79" s="70">
        <v>9.8</v>
      </c>
      <c r="H79" s="70">
        <f>E79*4+F79*9+G79*4</f>
        <v>44.400000000000006</v>
      </c>
      <c r="I79" s="73">
        <v>0.04</v>
      </c>
      <c r="J79" s="73">
        <v>0.02</v>
      </c>
      <c r="K79" s="71">
        <v>10</v>
      </c>
      <c r="L79" s="71">
        <v>0.02</v>
      </c>
      <c r="M79" s="73">
        <v>0.2</v>
      </c>
      <c r="N79" s="73">
        <v>16</v>
      </c>
      <c r="O79" s="73">
        <v>11</v>
      </c>
      <c r="P79" s="71">
        <v>0.03</v>
      </c>
      <c r="Q79" s="71">
        <v>0.002</v>
      </c>
      <c r="R79" s="73">
        <v>9</v>
      </c>
      <c r="S79" s="73">
        <v>2.2</v>
      </c>
      <c r="T79" s="75"/>
      <c r="U79" s="76"/>
      <c r="V79" s="76"/>
      <c r="W79" s="76"/>
    </row>
    <row r="80" spans="1:23" s="3" customFormat="1" ht="23.25" customHeight="1">
      <c r="A80" s="79"/>
      <c r="B80" s="184" t="s">
        <v>113</v>
      </c>
      <c r="C80" s="147"/>
      <c r="D80" s="71">
        <v>20</v>
      </c>
      <c r="E80" s="73">
        <v>0.1</v>
      </c>
      <c r="F80" s="69">
        <v>0</v>
      </c>
      <c r="G80" s="70">
        <v>14.3</v>
      </c>
      <c r="H80" s="73">
        <f>E80*4+F80*9+G80*4</f>
        <v>57.6</v>
      </c>
      <c r="I80" s="73">
        <v>0.01</v>
      </c>
      <c r="J80" s="73">
        <v>0.01</v>
      </c>
      <c r="K80" s="70">
        <v>2.5</v>
      </c>
      <c r="L80" s="73">
        <v>0.08</v>
      </c>
      <c r="M80" s="74">
        <v>0.09</v>
      </c>
      <c r="N80" s="70">
        <v>3.57</v>
      </c>
      <c r="O80" s="70">
        <v>2.85</v>
      </c>
      <c r="P80" s="73">
        <v>0.01</v>
      </c>
      <c r="Q80" s="74">
        <v>0.001</v>
      </c>
      <c r="R80" s="70">
        <v>0.9</v>
      </c>
      <c r="S80" s="73">
        <v>0.12</v>
      </c>
      <c r="T80" s="37"/>
      <c r="U80" s="40"/>
      <c r="V80" s="40"/>
      <c r="W80" s="40"/>
    </row>
    <row r="81" spans="1:23" s="3" customFormat="1" ht="11.25" customHeight="1">
      <c r="A81" s="114">
        <v>222</v>
      </c>
      <c r="B81" s="181" t="s">
        <v>79</v>
      </c>
      <c r="C81" s="182"/>
      <c r="D81" s="71">
        <v>170</v>
      </c>
      <c r="E81" s="73">
        <f>14.92*D81/170</f>
        <v>14.92</v>
      </c>
      <c r="F81" s="73">
        <f>14.38*D81/170</f>
        <v>14.379999999999999</v>
      </c>
      <c r="G81" s="73">
        <f>31.51*D81/170</f>
        <v>31.509999999999998</v>
      </c>
      <c r="H81" s="73">
        <f>E81*4+F81*9+G81*4</f>
        <v>315.14</v>
      </c>
      <c r="I81" s="70">
        <f>D81*0.31/200</f>
        <v>0.2635</v>
      </c>
      <c r="J81" s="70">
        <f>D81*0.48/200</f>
        <v>0.408</v>
      </c>
      <c r="K81" s="70">
        <f>D81*1.1/200</f>
        <v>0.9350000000000002</v>
      </c>
      <c r="L81" s="73">
        <f>D81*0.25/200</f>
        <v>0.2125</v>
      </c>
      <c r="M81" s="74">
        <f>D81*1.6/200</f>
        <v>1.36</v>
      </c>
      <c r="N81" s="70">
        <f>D81*254.08/200</f>
        <v>215.968</v>
      </c>
      <c r="O81" s="70">
        <f>D81*487.77/200</f>
        <v>414.6045</v>
      </c>
      <c r="P81" s="70">
        <v>1.2</v>
      </c>
      <c r="Q81" s="74">
        <v>0.02</v>
      </c>
      <c r="R81" s="70">
        <f>D81*110.45/200</f>
        <v>93.8825</v>
      </c>
      <c r="S81" s="73">
        <f>D81*2.98/200</f>
        <v>2.533</v>
      </c>
      <c r="T81" s="48"/>
      <c r="U81" s="40"/>
      <c r="V81" s="40"/>
      <c r="W81" s="40"/>
    </row>
    <row r="82" spans="1:23" s="3" customFormat="1" ht="11.25" customHeight="1">
      <c r="A82" s="114">
        <v>376</v>
      </c>
      <c r="B82" s="147" t="s">
        <v>71</v>
      </c>
      <c r="C82" s="147"/>
      <c r="D82" s="71">
        <v>200</v>
      </c>
      <c r="E82" s="73">
        <v>0.2</v>
      </c>
      <c r="F82" s="73">
        <v>0.05</v>
      </c>
      <c r="G82" s="73">
        <v>15.01</v>
      </c>
      <c r="H82" s="73">
        <f>E82*4+F82*9+G82*4</f>
        <v>61.29</v>
      </c>
      <c r="I82" s="71">
        <v>0</v>
      </c>
      <c r="J82" s="73">
        <v>0.01</v>
      </c>
      <c r="K82" s="73">
        <v>9</v>
      </c>
      <c r="L82" s="77">
        <v>0.0001</v>
      </c>
      <c r="M82" s="74">
        <v>0.045</v>
      </c>
      <c r="N82" s="73">
        <v>5.25</v>
      </c>
      <c r="O82" s="73">
        <v>8.24</v>
      </c>
      <c r="P82" s="74">
        <v>0.008</v>
      </c>
      <c r="Q82" s="71">
        <v>0</v>
      </c>
      <c r="R82" s="70">
        <v>4.4</v>
      </c>
      <c r="S82" s="73">
        <v>0.87</v>
      </c>
      <c r="T82" s="11"/>
      <c r="U82" s="24"/>
      <c r="V82" s="24"/>
      <c r="W82" s="24"/>
    </row>
    <row r="83" spans="1:23" s="72" customFormat="1" ht="12.75" customHeight="1">
      <c r="A83" s="79" t="s">
        <v>81</v>
      </c>
      <c r="B83" s="148" t="s">
        <v>121</v>
      </c>
      <c r="C83" s="149"/>
      <c r="D83" s="71">
        <v>40</v>
      </c>
      <c r="E83" s="73">
        <f>1.52*D83/30</f>
        <v>2.0266666666666664</v>
      </c>
      <c r="F83" s="74">
        <f>0.16*D83/30</f>
        <v>0.21333333333333335</v>
      </c>
      <c r="G83" s="74">
        <f>9.84*D83/30</f>
        <v>13.120000000000001</v>
      </c>
      <c r="H83" s="74">
        <f>E83*4+F83*9+G83*4</f>
        <v>62.50666666666667</v>
      </c>
      <c r="I83" s="74">
        <f>0.02*D83/30</f>
        <v>0.02666666666666667</v>
      </c>
      <c r="J83" s="74">
        <f>0.01*D83/30</f>
        <v>0.013333333333333334</v>
      </c>
      <c r="K83" s="74">
        <f>0.44*D83/30</f>
        <v>0.5866666666666667</v>
      </c>
      <c r="L83" s="74">
        <v>0</v>
      </c>
      <c r="M83" s="74">
        <f>0.7*D83/30</f>
        <v>0.9333333333333333</v>
      </c>
      <c r="N83" s="74">
        <f>4*D83/30</f>
        <v>5.333333333333333</v>
      </c>
      <c r="O83" s="74">
        <f>13*D83/30</f>
        <v>17.333333333333332</v>
      </c>
      <c r="P83" s="74">
        <f>0.008*D83/30</f>
        <v>0.010666666666666666</v>
      </c>
      <c r="Q83" s="74">
        <f>0.001*D83/30</f>
        <v>0.0013333333333333333</v>
      </c>
      <c r="R83" s="74">
        <v>0</v>
      </c>
      <c r="S83" s="74">
        <f>0.22*D83/30</f>
        <v>0.29333333333333333</v>
      </c>
      <c r="T83" s="75"/>
      <c r="U83" s="76"/>
      <c r="V83" s="76"/>
      <c r="W83" s="76"/>
    </row>
    <row r="84" spans="1:23" s="1" customFormat="1" ht="12.75" customHeight="1">
      <c r="A84" s="136" t="s">
        <v>68</v>
      </c>
      <c r="B84" s="65"/>
      <c r="C84" s="65"/>
      <c r="D84" s="66">
        <f>SUM(D80:D83)</f>
        <v>430</v>
      </c>
      <c r="E84" s="38">
        <f>SUM(E80:E83)</f>
        <v>17.246666666666666</v>
      </c>
      <c r="F84" s="37">
        <f>SUM(F80:F83)</f>
        <v>14.643333333333333</v>
      </c>
      <c r="G84" s="49">
        <f>SUM(G80:G83)</f>
        <v>73.94</v>
      </c>
      <c r="H84" s="37">
        <f>SUM(H80:H83)</f>
        <v>496.5366666666667</v>
      </c>
      <c r="I84" s="38">
        <f>SUM(I80:I83)</f>
        <v>0.3001666666666667</v>
      </c>
      <c r="J84" s="38">
        <f>SUM(J80:J83)</f>
        <v>0.4413333333333333</v>
      </c>
      <c r="K84" s="38">
        <f>SUM(K80:K83)</f>
        <v>13.021666666666667</v>
      </c>
      <c r="L84" s="38">
        <f>SUM(L80:L83)</f>
        <v>0.29259999999999997</v>
      </c>
      <c r="M84" s="39">
        <f>SUM(M80:M83)</f>
        <v>2.4283333333333337</v>
      </c>
      <c r="N84" s="38">
        <f>SUM(N80:N83)</f>
        <v>230.12133333333333</v>
      </c>
      <c r="O84" s="38">
        <f>SUM(O80:O83)</f>
        <v>443.0278333333333</v>
      </c>
      <c r="P84" s="38">
        <f>SUM(P80:P83)</f>
        <v>1.2286666666666666</v>
      </c>
      <c r="Q84" s="39">
        <f>SUM(Q80:Q83)</f>
        <v>0.022333333333333334</v>
      </c>
      <c r="R84" s="38">
        <f>SUM(R80:R83)</f>
        <v>99.1825</v>
      </c>
      <c r="S84" s="38">
        <f>SUM(S80:S83)</f>
        <v>3.8163333333333336</v>
      </c>
      <c r="T84" s="37"/>
      <c r="U84" s="40"/>
      <c r="V84" s="40"/>
      <c r="W84" s="40"/>
    </row>
    <row r="85" spans="1:23" s="1" customFormat="1" ht="11.25" customHeight="1">
      <c r="A85" s="133" t="s">
        <v>28</v>
      </c>
      <c r="B85" s="137"/>
      <c r="C85" s="137"/>
      <c r="D85" s="138"/>
      <c r="E85" s="78">
        <f>E84/E101</f>
        <v>0.22398268398268398</v>
      </c>
      <c r="F85" s="78">
        <f>F84/F101</f>
        <v>0.18535864978902952</v>
      </c>
      <c r="G85" s="78">
        <f>G84/G101</f>
        <v>0.22071641791044774</v>
      </c>
      <c r="H85" s="78">
        <f>H84/H101</f>
        <v>0.2112921985815603</v>
      </c>
      <c r="I85" s="78">
        <f>I84/I101</f>
        <v>0.2501388888888889</v>
      </c>
      <c r="J85" s="78">
        <f>J84/J101</f>
        <v>0.31523809523809526</v>
      </c>
      <c r="K85" s="78">
        <f>K84/K101</f>
        <v>0.21702777777777776</v>
      </c>
      <c r="L85" s="78">
        <f>L84/L101</f>
        <v>0.418</v>
      </c>
      <c r="M85" s="78">
        <f>M84/M101</f>
        <v>0.24283333333333337</v>
      </c>
      <c r="N85" s="43">
        <f>N84/N101</f>
        <v>0.20920121212121212</v>
      </c>
      <c r="O85" s="78">
        <f>O84/O101</f>
        <v>0.4027525757575757</v>
      </c>
      <c r="P85" s="78">
        <f>P84/P101</f>
        <v>0.12286666666666665</v>
      </c>
      <c r="Q85" s="78">
        <f>Q84/Q101</f>
        <v>0.22333333333333333</v>
      </c>
      <c r="R85" s="78">
        <f>R84/R101</f>
        <v>0.39673</v>
      </c>
      <c r="S85" s="43">
        <f>S84/S101</f>
        <v>0.3180277777777778</v>
      </c>
      <c r="T85" s="48"/>
      <c r="U85" s="40"/>
      <c r="V85" s="40"/>
      <c r="W85" s="40"/>
    </row>
    <row r="86" spans="1:23" s="1" customFormat="1" ht="1.5" customHeight="1">
      <c r="A86" s="89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5"/>
      <c r="T86" s="75"/>
      <c r="U86" s="76"/>
      <c r="V86" s="76"/>
      <c r="W86" s="76"/>
    </row>
    <row r="87" spans="1:23" s="8" customFormat="1" ht="11.25" customHeight="1">
      <c r="A87" s="79" t="s">
        <v>81</v>
      </c>
      <c r="B87" s="199" t="s">
        <v>101</v>
      </c>
      <c r="C87" s="199"/>
      <c r="D87" s="89">
        <v>60</v>
      </c>
      <c r="E87" s="92">
        <f>0.77*D87/60</f>
        <v>0.77</v>
      </c>
      <c r="F87" s="89">
        <f>2.04*D87/60</f>
        <v>2.04</v>
      </c>
      <c r="G87" s="89">
        <f>2.26*D87/60</f>
        <v>2.26</v>
      </c>
      <c r="H87" s="93">
        <f>E87*4+F87*9+G87*4</f>
        <v>30.479999999999997</v>
      </c>
      <c r="I87" s="89">
        <f>0.02*D87/60</f>
        <v>0.02</v>
      </c>
      <c r="J87" s="89">
        <f>0.02*D87/60</f>
        <v>0.02</v>
      </c>
      <c r="K87" s="89">
        <f>19.95*D87/60</f>
        <v>19.95</v>
      </c>
      <c r="L87" s="89">
        <f>0.01*D87/60</f>
        <v>0.01</v>
      </c>
      <c r="M87" s="91">
        <f>0.0787*D87/60</f>
        <v>0.0787</v>
      </c>
      <c r="N87" s="89">
        <f>25.7*D87/60</f>
        <v>25.7</v>
      </c>
      <c r="O87" s="90">
        <f>13.62*D87/60</f>
        <v>13.62</v>
      </c>
      <c r="P87" s="89">
        <f>0.17*D87/60</f>
        <v>0.17</v>
      </c>
      <c r="Q87" s="89">
        <f>0.03*D87/60</f>
        <v>0.029999999999999995</v>
      </c>
      <c r="R87" s="92">
        <f>9*D87/60</f>
        <v>9</v>
      </c>
      <c r="S87" s="89">
        <f>0.28*D87/60</f>
        <v>0.28</v>
      </c>
      <c r="T87" s="51"/>
      <c r="U87" s="52"/>
      <c r="V87" s="52"/>
      <c r="W87" s="52"/>
    </row>
    <row r="88" spans="1:23" s="1" customFormat="1" ht="11.25" customHeight="1">
      <c r="A88" s="143">
        <v>82</v>
      </c>
      <c r="B88" s="148" t="s">
        <v>121</v>
      </c>
      <c r="C88" s="149"/>
      <c r="D88" s="71">
        <v>4</v>
      </c>
      <c r="E88" s="73">
        <f>1.52*D88/30</f>
        <v>0.20266666666666666</v>
      </c>
      <c r="F88" s="74">
        <f>0.16*D88/30</f>
        <v>0.021333333333333333</v>
      </c>
      <c r="G88" s="74">
        <f>9.84*D88/30</f>
        <v>1.312</v>
      </c>
      <c r="H88" s="74">
        <f>E88*4+F88*9+G88*4</f>
        <v>6.250666666666667</v>
      </c>
      <c r="I88" s="74">
        <f>0.02*D88/30</f>
        <v>0.0026666666666666666</v>
      </c>
      <c r="J88" s="74">
        <f>0.01*D88/30</f>
        <v>0.0013333333333333333</v>
      </c>
      <c r="K88" s="74">
        <f>0.44*D88/30</f>
        <v>0.058666666666666666</v>
      </c>
      <c r="L88" s="74">
        <v>0</v>
      </c>
      <c r="M88" s="74">
        <f>0.7*D88/30</f>
        <v>0.09333333333333332</v>
      </c>
      <c r="N88" s="74">
        <f>4*D88/30</f>
        <v>0.5333333333333333</v>
      </c>
      <c r="O88" s="74">
        <f>13*D88/30</f>
        <v>1.7333333333333334</v>
      </c>
      <c r="P88" s="74">
        <f>0.008*D88/30</f>
        <v>0.0010666666666666667</v>
      </c>
      <c r="Q88" s="74">
        <f>0.001*D88/30</f>
        <v>0.00013333333333333334</v>
      </c>
      <c r="R88" s="74">
        <v>0</v>
      </c>
      <c r="S88" s="74">
        <f>0.22*D88/30</f>
        <v>0.029333333333333333</v>
      </c>
      <c r="T88" s="12"/>
      <c r="U88" s="19"/>
      <c r="V88" s="19"/>
      <c r="W88" s="19"/>
    </row>
    <row r="89" spans="1:23" s="1" customFormat="1" ht="11.25" customHeight="1">
      <c r="A89" s="114">
        <v>291</v>
      </c>
      <c r="B89" s="148" t="s">
        <v>122</v>
      </c>
      <c r="C89" s="149"/>
      <c r="D89" s="69">
        <v>200</v>
      </c>
      <c r="E89" s="73">
        <v>1.45</v>
      </c>
      <c r="F89" s="73">
        <v>3.93</v>
      </c>
      <c r="G89" s="73">
        <v>100.2</v>
      </c>
      <c r="H89" s="73">
        <v>82</v>
      </c>
      <c r="I89" s="69">
        <v>0.04</v>
      </c>
      <c r="J89" s="69">
        <v>0</v>
      </c>
      <c r="K89" s="70">
        <v>8.23</v>
      </c>
      <c r="L89" s="73">
        <v>0</v>
      </c>
      <c r="M89" s="73">
        <v>0</v>
      </c>
      <c r="N89" s="73">
        <v>35.5</v>
      </c>
      <c r="O89" s="73">
        <v>42.58</v>
      </c>
      <c r="P89" s="73">
        <v>0</v>
      </c>
      <c r="Q89" s="74">
        <v>0</v>
      </c>
      <c r="R89" s="73">
        <v>21</v>
      </c>
      <c r="S89" s="73">
        <v>0.95</v>
      </c>
      <c r="T89" s="14"/>
      <c r="U89" s="20"/>
      <c r="V89" s="20"/>
      <c r="W89" s="20"/>
    </row>
    <row r="90" spans="1:23" s="1" customFormat="1" ht="11.25" customHeight="1">
      <c r="A90" s="114">
        <v>342</v>
      </c>
      <c r="B90" s="148" t="s">
        <v>53</v>
      </c>
      <c r="C90" s="149"/>
      <c r="D90" s="71">
        <v>240</v>
      </c>
      <c r="E90" s="73">
        <f>D90*18.63/200</f>
        <v>22.355999999999998</v>
      </c>
      <c r="F90" s="73">
        <f>D90*21.78/200</f>
        <v>26.136000000000003</v>
      </c>
      <c r="G90" s="73">
        <f>D90*39.36/200</f>
        <v>47.232</v>
      </c>
      <c r="H90" s="73">
        <f>E90*4+F90*9+G90*4</f>
        <v>513.576</v>
      </c>
      <c r="I90" s="73">
        <f>D90*0.68/200</f>
        <v>0.8160000000000001</v>
      </c>
      <c r="J90" s="73">
        <f>D90*0.66/200</f>
        <v>0.792</v>
      </c>
      <c r="K90" s="73">
        <f>D90*3.58/200</f>
        <v>4.296</v>
      </c>
      <c r="L90" s="73">
        <v>0.46</v>
      </c>
      <c r="M90" s="69">
        <v>0</v>
      </c>
      <c r="N90" s="73">
        <f>D90*36.91/200</f>
        <v>44.292</v>
      </c>
      <c r="O90" s="73">
        <f>D90*251.38/200</f>
        <v>301.656</v>
      </c>
      <c r="P90" s="71">
        <v>0</v>
      </c>
      <c r="Q90" s="71">
        <v>0</v>
      </c>
      <c r="R90" s="73">
        <f>D90*53.66/200</f>
        <v>64.392</v>
      </c>
      <c r="S90" s="73">
        <f>D90*2.31/200</f>
        <v>2.772</v>
      </c>
      <c r="T90" s="15"/>
      <c r="U90" s="21"/>
      <c r="V90" s="21"/>
      <c r="W90" s="21"/>
    </row>
    <row r="91" spans="1:23" s="1" customFormat="1" ht="21" customHeight="1">
      <c r="A91" s="80" t="s">
        <v>81</v>
      </c>
      <c r="B91" s="148" t="s">
        <v>85</v>
      </c>
      <c r="C91" s="149"/>
      <c r="D91" s="71">
        <v>200</v>
      </c>
      <c r="E91" s="73">
        <v>0.16</v>
      </c>
      <c r="F91" s="69">
        <v>0.16</v>
      </c>
      <c r="G91" s="70">
        <v>27.87</v>
      </c>
      <c r="H91" s="73">
        <f>E91*4+F91*9+G91*4</f>
        <v>113.56</v>
      </c>
      <c r="I91" s="69">
        <v>0.01</v>
      </c>
      <c r="J91" s="69">
        <v>0.01</v>
      </c>
      <c r="K91" s="70">
        <v>6.6</v>
      </c>
      <c r="L91" s="69">
        <v>0.01</v>
      </c>
      <c r="M91" s="73">
        <v>0.4</v>
      </c>
      <c r="N91" s="73">
        <v>6.88</v>
      </c>
      <c r="O91" s="73">
        <v>4.4</v>
      </c>
      <c r="P91" s="73">
        <v>0.078</v>
      </c>
      <c r="Q91" s="74">
        <v>0.01</v>
      </c>
      <c r="R91" s="73">
        <v>3.6</v>
      </c>
      <c r="S91" s="73">
        <v>0.95</v>
      </c>
      <c r="T91" s="9"/>
      <c r="U91" s="22"/>
      <c r="V91" s="22"/>
      <c r="W91" s="22"/>
    </row>
    <row r="92" spans="1:23" s="1" customFormat="1" ht="2.25" customHeight="1" hidden="1">
      <c r="A92" s="62" t="s">
        <v>29</v>
      </c>
      <c r="B92" s="148" t="s">
        <v>46</v>
      </c>
      <c r="C92" s="149"/>
      <c r="D92" s="71">
        <v>40</v>
      </c>
      <c r="E92" s="73">
        <f>2.64*D92/40</f>
        <v>2.64</v>
      </c>
      <c r="F92" s="73">
        <f>0.48*D92/40</f>
        <v>0.48</v>
      </c>
      <c r="G92" s="73">
        <f>13.68*D92/40</f>
        <v>13.680000000000001</v>
      </c>
      <c r="H92" s="73">
        <f>E92*4+F92*9+G92*4</f>
        <v>69.60000000000001</v>
      </c>
      <c r="I92" s="69">
        <f>0.08*D92/40</f>
        <v>0.08</v>
      </c>
      <c r="J92" s="73">
        <f>0.04*D92/40</f>
        <v>0.04</v>
      </c>
      <c r="K92" s="71">
        <v>0</v>
      </c>
      <c r="L92" s="71">
        <v>0</v>
      </c>
      <c r="M92" s="73">
        <f>2.4*D92/40</f>
        <v>2.4</v>
      </c>
      <c r="N92" s="73">
        <f>14*D92/40</f>
        <v>14</v>
      </c>
      <c r="O92" s="73">
        <f>63.2*D92/40</f>
        <v>63.2</v>
      </c>
      <c r="P92" s="73">
        <f>1.2*D92/40</f>
        <v>1.2</v>
      </c>
      <c r="Q92" s="74">
        <f>0.001*D92/40</f>
        <v>0.001</v>
      </c>
      <c r="R92" s="73">
        <f>9.4*D92/40</f>
        <v>9.4</v>
      </c>
      <c r="S92" s="69">
        <f>0.78*D92/40</f>
        <v>0.78</v>
      </c>
      <c r="T92" s="9"/>
      <c r="U92" s="22"/>
      <c r="V92" s="22"/>
      <c r="W92" s="22"/>
    </row>
    <row r="93" spans="1:23" s="1" customFormat="1" ht="11.25" customHeight="1" hidden="1">
      <c r="A93" s="136" t="s">
        <v>68</v>
      </c>
      <c r="B93" s="63"/>
      <c r="C93" s="63"/>
      <c r="D93" s="66">
        <v>790</v>
      </c>
      <c r="E93" s="38">
        <f>SUM(E89:E92)</f>
        <v>26.605999999999998</v>
      </c>
      <c r="F93" s="37">
        <f>SUM(F89:F92)</f>
        <v>30.706000000000003</v>
      </c>
      <c r="G93" s="37">
        <f>SUM(G89:G92)</f>
        <v>188.98200000000003</v>
      </c>
      <c r="H93" s="37">
        <f>SUM(H89:H92)</f>
        <v>778.736</v>
      </c>
      <c r="I93" s="38">
        <f aca="true" t="shared" si="13" ref="I93:R93">SUM(I89:I92)</f>
        <v>0.9460000000000001</v>
      </c>
      <c r="J93" s="38">
        <f t="shared" si="13"/>
        <v>0.8420000000000001</v>
      </c>
      <c r="K93" s="37">
        <f t="shared" si="13"/>
        <v>19.125999999999998</v>
      </c>
      <c r="L93" s="38">
        <f t="shared" si="13"/>
        <v>0.47000000000000003</v>
      </c>
      <c r="M93" s="42">
        <f t="shared" si="13"/>
        <v>2.8</v>
      </c>
      <c r="N93" s="37">
        <f t="shared" si="13"/>
        <v>100.672</v>
      </c>
      <c r="O93" s="38">
        <f t="shared" si="13"/>
        <v>411.83599999999996</v>
      </c>
      <c r="P93" s="37">
        <f t="shared" si="13"/>
        <v>1.278</v>
      </c>
      <c r="Q93" s="39">
        <f t="shared" si="13"/>
        <v>0.011</v>
      </c>
      <c r="R93" s="49">
        <f t="shared" si="13"/>
        <v>98.392</v>
      </c>
      <c r="S93" s="38">
        <f>SUM(S89:S92)</f>
        <v>5.452</v>
      </c>
      <c r="T93" s="10"/>
      <c r="U93" s="23"/>
      <c r="V93" s="23"/>
      <c r="W93" s="23"/>
    </row>
    <row r="94" spans="1:23" s="1" customFormat="1" ht="11.25" customHeight="1" hidden="1">
      <c r="A94" s="133"/>
      <c r="B94" s="137"/>
      <c r="C94" s="137"/>
      <c r="D94" s="138"/>
      <c r="E94" s="109">
        <f aca="true" t="shared" si="14" ref="E94:S94">E93/E101</f>
        <v>0.3455324675324675</v>
      </c>
      <c r="F94" s="78">
        <f t="shared" si="14"/>
        <v>0.38868354430379753</v>
      </c>
      <c r="G94" s="78">
        <f t="shared" si="14"/>
        <v>0.5641253731343284</v>
      </c>
      <c r="H94" s="78">
        <f t="shared" si="14"/>
        <v>0.33137702127659574</v>
      </c>
      <c r="I94" s="78">
        <f t="shared" si="14"/>
        <v>0.7883333333333334</v>
      </c>
      <c r="J94" s="78">
        <f t="shared" si="14"/>
        <v>0.6014285714285715</v>
      </c>
      <c r="K94" s="78">
        <f t="shared" si="14"/>
        <v>0.31876666666666664</v>
      </c>
      <c r="L94" s="78">
        <f t="shared" si="14"/>
        <v>0.6714285714285715</v>
      </c>
      <c r="M94" s="78">
        <f t="shared" si="14"/>
        <v>0.27999999999999997</v>
      </c>
      <c r="N94" s="43">
        <f t="shared" si="14"/>
        <v>0.09152</v>
      </c>
      <c r="O94" s="78">
        <f t="shared" si="14"/>
        <v>0.3743963636363636</v>
      </c>
      <c r="P94" s="78">
        <f t="shared" si="14"/>
        <v>0.1278</v>
      </c>
      <c r="Q94" s="78">
        <f t="shared" si="14"/>
        <v>0.10999999999999999</v>
      </c>
      <c r="R94" s="78">
        <f t="shared" si="14"/>
        <v>0.393568</v>
      </c>
      <c r="S94" s="43">
        <f t="shared" si="14"/>
        <v>0.4543333333333333</v>
      </c>
      <c r="T94" s="11"/>
      <c r="U94" s="24"/>
      <c r="V94" s="24"/>
      <c r="W94" s="24"/>
    </row>
    <row r="95" spans="1:23" s="1" customFormat="1" ht="12" customHeight="1" hidden="1">
      <c r="A95" s="11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5"/>
      <c r="T95" s="75"/>
      <c r="U95" s="76"/>
      <c r="V95" s="76"/>
      <c r="W95" s="76"/>
    </row>
    <row r="96" spans="1:23" s="3" customFormat="1" ht="22.5" customHeight="1" hidden="1">
      <c r="A96" s="114"/>
      <c r="B96" s="148"/>
      <c r="C96" s="149"/>
      <c r="D96" s="71"/>
      <c r="E96" s="73"/>
      <c r="F96" s="73"/>
      <c r="G96" s="73"/>
      <c r="H96" s="70"/>
      <c r="I96" s="74"/>
      <c r="J96" s="73"/>
      <c r="K96" s="73"/>
      <c r="L96" s="74"/>
      <c r="M96" s="69"/>
      <c r="N96" s="70"/>
      <c r="O96" s="73"/>
      <c r="P96" s="73"/>
      <c r="Q96" s="74"/>
      <c r="R96" s="73"/>
      <c r="S96" s="73"/>
      <c r="T96" s="75"/>
      <c r="U96" s="76"/>
      <c r="V96" s="76"/>
      <c r="W96" s="76"/>
    </row>
    <row r="97" spans="1:23" s="3" customFormat="1" ht="24" customHeight="1">
      <c r="A97" s="62"/>
      <c r="B97" s="148"/>
      <c r="C97" s="149"/>
      <c r="D97" s="71"/>
      <c r="E97" s="73"/>
      <c r="F97" s="69"/>
      <c r="G97" s="70"/>
      <c r="H97" s="73"/>
      <c r="I97" s="69"/>
      <c r="J97" s="69"/>
      <c r="K97" s="70"/>
      <c r="L97" s="73"/>
      <c r="M97" s="69"/>
      <c r="N97" s="70"/>
      <c r="O97" s="70"/>
      <c r="P97" s="70"/>
      <c r="Q97" s="74"/>
      <c r="R97" s="70"/>
      <c r="S97" s="73"/>
      <c r="T97" s="75"/>
      <c r="U97" s="76"/>
      <c r="V97" s="76"/>
      <c r="W97" s="76"/>
    </row>
    <row r="98" spans="1:23" s="3" customFormat="1" ht="12.75" customHeight="1">
      <c r="A98" s="136"/>
      <c r="B98" s="63"/>
      <c r="C98" s="63"/>
      <c r="D98" s="66"/>
      <c r="E98" s="38"/>
      <c r="F98" s="37"/>
      <c r="G98" s="37"/>
      <c r="H98" s="37"/>
      <c r="I98" s="38"/>
      <c r="J98" s="38"/>
      <c r="K98" s="37"/>
      <c r="L98" s="38"/>
      <c r="M98" s="37"/>
      <c r="N98" s="37"/>
      <c r="O98" s="37"/>
      <c r="P98" s="37"/>
      <c r="Q98" s="39"/>
      <c r="R98" s="37"/>
      <c r="S98" s="38"/>
      <c r="T98" s="75"/>
      <c r="U98" s="76"/>
      <c r="V98" s="76"/>
      <c r="W98" s="76"/>
    </row>
    <row r="99" spans="1:23" s="3" customFormat="1" ht="11.25" customHeight="1">
      <c r="A99" s="139" t="s">
        <v>67</v>
      </c>
      <c r="B99" s="137"/>
      <c r="C99" s="137"/>
      <c r="D99" s="13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43"/>
      <c r="T99" s="75"/>
      <c r="U99" s="76"/>
      <c r="V99" s="76"/>
      <c r="W99" s="76"/>
    </row>
    <row r="100" spans="1:23" s="3" customFormat="1" ht="11.25" customHeight="1">
      <c r="A100" s="139" t="s">
        <v>69</v>
      </c>
      <c r="B100" s="140"/>
      <c r="C100" s="140"/>
      <c r="D100" s="141"/>
      <c r="E100" s="38">
        <f>SUM(E84,E93,E98)</f>
        <v>43.852666666666664</v>
      </c>
      <c r="F100" s="37">
        <f>SUM(F84,F93,F98)</f>
        <v>45.349333333333334</v>
      </c>
      <c r="G100" s="37">
        <f>SUM(G84,G93,G98)</f>
        <v>262.922</v>
      </c>
      <c r="H100" s="37">
        <f>SUM(H84,H93,H98)</f>
        <v>1275.2726666666667</v>
      </c>
      <c r="I100" s="38">
        <f>SUM(I84,I93,I98)</f>
        <v>1.2461666666666669</v>
      </c>
      <c r="J100" s="38">
        <f>SUM(J84,J93,J98)</f>
        <v>1.2833333333333334</v>
      </c>
      <c r="K100" s="49">
        <f>SUM(K84,K93,K98)</f>
        <v>32.147666666666666</v>
      </c>
      <c r="L100" s="38">
        <f>SUM(L84,L93,L98)</f>
        <v>0.7626</v>
      </c>
      <c r="M100" s="49">
        <f>SUM(M84,M93,M98)</f>
        <v>5.2283333333333335</v>
      </c>
      <c r="N100" s="37">
        <f>SUM(N84,N93,N98)</f>
        <v>330.7933333333333</v>
      </c>
      <c r="O100" s="37">
        <f>SUM(O84,O93,O98)</f>
        <v>854.8638333333333</v>
      </c>
      <c r="P100" s="37">
        <f>SUM(P84,P93,P98)</f>
        <v>2.506666666666667</v>
      </c>
      <c r="Q100" s="39">
        <f>SUM(Q84,Q93,Q98)</f>
        <v>0.03333333333333333</v>
      </c>
      <c r="R100" s="38">
        <f>SUM(R84,R93,R98)</f>
        <v>197.5745</v>
      </c>
      <c r="S100" s="38">
        <f>SUM(S84,S93,S98)</f>
        <v>9.268333333333334</v>
      </c>
      <c r="T100" s="37"/>
      <c r="U100" s="40"/>
      <c r="V100" s="40"/>
      <c r="W100" s="40"/>
    </row>
    <row r="101" spans="1:23" s="3" customFormat="1" ht="11.25" customHeight="1">
      <c r="A101" s="136" t="s">
        <v>68</v>
      </c>
      <c r="B101" s="140"/>
      <c r="C101" s="140"/>
      <c r="D101" s="141"/>
      <c r="E101" s="73">
        <v>77</v>
      </c>
      <c r="F101" s="70">
        <v>79</v>
      </c>
      <c r="G101" s="70">
        <v>335</v>
      </c>
      <c r="H101" s="70">
        <v>2350</v>
      </c>
      <c r="I101" s="73">
        <v>1.2</v>
      </c>
      <c r="J101" s="73">
        <v>1.4</v>
      </c>
      <c r="K101" s="71">
        <v>60</v>
      </c>
      <c r="L101" s="73">
        <v>0.7</v>
      </c>
      <c r="M101" s="71">
        <v>10</v>
      </c>
      <c r="N101" s="71">
        <v>1100</v>
      </c>
      <c r="O101" s="71">
        <v>1100</v>
      </c>
      <c r="P101" s="71">
        <v>10</v>
      </c>
      <c r="Q101" s="70">
        <v>0.1</v>
      </c>
      <c r="R101" s="71">
        <v>250</v>
      </c>
      <c r="S101" s="73">
        <v>12</v>
      </c>
      <c r="T101" s="48"/>
      <c r="U101" s="40"/>
      <c r="V101" s="40"/>
      <c r="W101" s="40"/>
    </row>
    <row r="102" spans="1:23" s="3" customFormat="1" ht="11.25" customHeight="1">
      <c r="A102" s="59"/>
      <c r="B102" s="137"/>
      <c r="C102" s="137"/>
      <c r="D102" s="138"/>
      <c r="E102" s="78">
        <f aca="true" t="shared" si="15" ref="E102:S102">E100/E101</f>
        <v>0.5695151515151515</v>
      </c>
      <c r="F102" s="43">
        <f t="shared" si="15"/>
        <v>0.574042194092827</v>
      </c>
      <c r="G102" s="43">
        <f t="shared" si="15"/>
        <v>0.7848417910447762</v>
      </c>
      <c r="H102" s="43">
        <f t="shared" si="15"/>
        <v>0.5426692198581561</v>
      </c>
      <c r="I102" s="43">
        <f t="shared" si="15"/>
        <v>1.0384722222222225</v>
      </c>
      <c r="J102" s="43">
        <f t="shared" si="15"/>
        <v>0.9166666666666669</v>
      </c>
      <c r="K102" s="43">
        <f t="shared" si="15"/>
        <v>0.5357944444444445</v>
      </c>
      <c r="L102" s="44">
        <f t="shared" si="15"/>
        <v>1.0894285714285714</v>
      </c>
      <c r="M102" s="43">
        <f t="shared" si="15"/>
        <v>0.5228333333333334</v>
      </c>
      <c r="N102" s="43">
        <f t="shared" si="15"/>
        <v>0.3007212121212121</v>
      </c>
      <c r="O102" s="43">
        <f t="shared" si="15"/>
        <v>0.7771489393939394</v>
      </c>
      <c r="P102" s="43">
        <f t="shared" si="15"/>
        <v>0.2506666666666667</v>
      </c>
      <c r="Q102" s="44">
        <f t="shared" si="15"/>
        <v>0.3333333333333333</v>
      </c>
      <c r="R102" s="43">
        <f t="shared" si="15"/>
        <v>0.7902980000000001</v>
      </c>
      <c r="S102" s="44">
        <f t="shared" si="15"/>
        <v>0.7723611111111112</v>
      </c>
      <c r="T102" s="11"/>
      <c r="U102" s="24"/>
      <c r="V102" s="24"/>
      <c r="W102" s="24"/>
    </row>
    <row r="103" spans="1:23" s="72" customFormat="1" ht="22.5" customHeight="1">
      <c r="A103" s="142" t="s">
        <v>34</v>
      </c>
      <c r="B103" s="56"/>
      <c r="C103" s="56"/>
      <c r="E103" s="35"/>
      <c r="L103" s="174" t="s">
        <v>80</v>
      </c>
      <c r="M103" s="174"/>
      <c r="N103" s="174"/>
      <c r="O103" s="174"/>
      <c r="P103" s="174"/>
      <c r="Q103" s="174"/>
      <c r="R103" s="174"/>
      <c r="S103" s="174"/>
      <c r="T103" s="11"/>
      <c r="U103" s="24"/>
      <c r="V103" s="24"/>
      <c r="W103" s="24"/>
    </row>
    <row r="104" spans="1:23" s="3" customFormat="1" ht="22.5" customHeight="1">
      <c r="A104" s="60" t="s">
        <v>59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75"/>
      <c r="U104" s="76"/>
      <c r="V104" s="76"/>
      <c r="W104" s="76"/>
    </row>
    <row r="105" spans="1:23" s="3" customFormat="1" ht="15" customHeight="1">
      <c r="A105" s="56"/>
      <c r="B105" s="56"/>
      <c r="C105" s="56"/>
      <c r="D105" s="2"/>
      <c r="E105" s="35"/>
      <c r="F105" s="175" t="s">
        <v>35</v>
      </c>
      <c r="G105" s="175"/>
      <c r="H105" s="175"/>
      <c r="I105" s="72"/>
      <c r="J105" s="72"/>
      <c r="K105" s="171" t="s">
        <v>2</v>
      </c>
      <c r="L105" s="171"/>
      <c r="M105" s="168" t="s">
        <v>77</v>
      </c>
      <c r="N105" s="168"/>
      <c r="O105" s="168"/>
      <c r="P105" s="168"/>
      <c r="Q105" s="72"/>
      <c r="R105" s="72"/>
      <c r="S105" s="72"/>
      <c r="T105" s="75"/>
      <c r="U105" s="76"/>
      <c r="V105" s="76"/>
      <c r="W105" s="76"/>
    </row>
    <row r="106" spans="1:23" s="72" customFormat="1" ht="23.25" customHeight="1">
      <c r="A106" s="169" t="s">
        <v>5</v>
      </c>
      <c r="B106" s="56"/>
      <c r="C106" s="56"/>
      <c r="D106" s="189" t="s">
        <v>3</v>
      </c>
      <c r="E106" s="189"/>
      <c r="F106" s="7">
        <v>1</v>
      </c>
      <c r="H106" s="2"/>
      <c r="I106" s="2"/>
      <c r="J106" s="2"/>
      <c r="K106" s="189" t="s">
        <v>4</v>
      </c>
      <c r="L106" s="189"/>
      <c r="M106" s="185" t="s">
        <v>61</v>
      </c>
      <c r="N106" s="185"/>
      <c r="O106" s="185"/>
      <c r="P106" s="185"/>
      <c r="Q106" s="185"/>
      <c r="R106" s="185"/>
      <c r="S106" s="185"/>
      <c r="T106" s="75"/>
      <c r="U106" s="76"/>
      <c r="V106" s="76"/>
      <c r="W106" s="76"/>
    </row>
    <row r="107" spans="1:23" s="3" customFormat="1" ht="13.5" customHeight="1">
      <c r="A107" s="170"/>
      <c r="B107" s="187" t="s">
        <v>6</v>
      </c>
      <c r="C107" s="188"/>
      <c r="D107" s="169" t="s">
        <v>7</v>
      </c>
      <c r="E107" s="165" t="s">
        <v>8</v>
      </c>
      <c r="F107" s="166"/>
      <c r="G107" s="167"/>
      <c r="H107" s="169" t="s">
        <v>9</v>
      </c>
      <c r="I107" s="165" t="s">
        <v>10</v>
      </c>
      <c r="J107" s="166"/>
      <c r="K107" s="166"/>
      <c r="L107" s="166"/>
      <c r="M107" s="167"/>
      <c r="N107" s="165" t="s">
        <v>11</v>
      </c>
      <c r="O107" s="166"/>
      <c r="P107" s="166"/>
      <c r="Q107" s="166"/>
      <c r="R107" s="166"/>
      <c r="S107" s="167"/>
      <c r="T107" s="75"/>
      <c r="U107" s="76"/>
      <c r="V107" s="76"/>
      <c r="W107" s="76"/>
    </row>
    <row r="108" spans="1:23" s="3" customFormat="1" ht="11.25">
      <c r="A108" s="114">
        <v>1</v>
      </c>
      <c r="B108" s="172"/>
      <c r="C108" s="173"/>
      <c r="D108" s="170"/>
      <c r="E108" s="103" t="s">
        <v>12</v>
      </c>
      <c r="F108" s="117" t="s">
        <v>13</v>
      </c>
      <c r="G108" s="117" t="s">
        <v>14</v>
      </c>
      <c r="H108" s="170"/>
      <c r="I108" s="117" t="s">
        <v>15</v>
      </c>
      <c r="J108" s="117" t="s">
        <v>62</v>
      </c>
      <c r="K108" s="117" t="s">
        <v>16</v>
      </c>
      <c r="L108" s="117" t="s">
        <v>17</v>
      </c>
      <c r="M108" s="117" t="s">
        <v>18</v>
      </c>
      <c r="N108" s="117" t="s">
        <v>19</v>
      </c>
      <c r="O108" s="117" t="s">
        <v>20</v>
      </c>
      <c r="P108" s="117" t="s">
        <v>63</v>
      </c>
      <c r="Q108" s="117" t="s">
        <v>64</v>
      </c>
      <c r="R108" s="117" t="s">
        <v>21</v>
      </c>
      <c r="S108" s="117" t="s">
        <v>22</v>
      </c>
      <c r="T108" s="75"/>
      <c r="U108" s="76"/>
      <c r="V108" s="76"/>
      <c r="W108" s="76"/>
    </row>
    <row r="109" spans="1:23" s="3" customFormat="1" ht="11.25" customHeight="1">
      <c r="A109" s="133" t="s">
        <v>26</v>
      </c>
      <c r="B109" s="157">
        <v>2</v>
      </c>
      <c r="C109" s="158"/>
      <c r="D109" s="36">
        <v>3</v>
      </c>
      <c r="E109" s="104">
        <v>4</v>
      </c>
      <c r="F109" s="36">
        <v>5</v>
      </c>
      <c r="G109" s="36">
        <v>6</v>
      </c>
      <c r="H109" s="36">
        <v>7</v>
      </c>
      <c r="I109" s="36">
        <v>8</v>
      </c>
      <c r="J109" s="36">
        <v>9</v>
      </c>
      <c r="K109" s="36">
        <v>10</v>
      </c>
      <c r="L109" s="36">
        <v>11</v>
      </c>
      <c r="M109" s="36">
        <v>12</v>
      </c>
      <c r="N109" s="36">
        <v>13</v>
      </c>
      <c r="O109" s="36">
        <v>14</v>
      </c>
      <c r="P109" s="36">
        <v>15</v>
      </c>
      <c r="Q109" s="36">
        <v>16</v>
      </c>
      <c r="R109" s="36">
        <v>17</v>
      </c>
      <c r="S109" s="36">
        <v>18</v>
      </c>
      <c r="T109" s="30"/>
      <c r="U109" s="31"/>
      <c r="V109" s="31"/>
      <c r="W109" s="31"/>
    </row>
    <row r="110" spans="1:23" s="3" customFormat="1" ht="11.25" customHeight="1">
      <c r="A110" s="67">
        <v>338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5"/>
      <c r="T110" s="37"/>
      <c r="U110" s="40"/>
      <c r="V110" s="40"/>
      <c r="W110" s="40"/>
    </row>
    <row r="111" spans="1:23" s="3" customFormat="1" ht="11.25" customHeight="1">
      <c r="A111" s="119">
        <v>15</v>
      </c>
      <c r="B111" s="148" t="s">
        <v>74</v>
      </c>
      <c r="C111" s="149"/>
      <c r="D111" s="71">
        <v>100</v>
      </c>
      <c r="E111" s="73">
        <f>D111*0.2/50</f>
        <v>0.4</v>
      </c>
      <c r="F111" s="69">
        <f>D111*0.15/50</f>
        <v>0.3</v>
      </c>
      <c r="G111" s="70">
        <f>D111*5.15/50</f>
        <v>10.3</v>
      </c>
      <c r="H111" s="70">
        <f>E111*4+F111*9+G111*4</f>
        <v>45.5</v>
      </c>
      <c r="I111" s="73">
        <f>D111*0.02/50</f>
        <v>0.04</v>
      </c>
      <c r="J111" s="73">
        <f>D111*0.01/50</f>
        <v>0.02</v>
      </c>
      <c r="K111" s="73">
        <f>D111*2.5/50</f>
        <v>5</v>
      </c>
      <c r="L111" s="73">
        <v>0.005</v>
      </c>
      <c r="M111" s="69">
        <f>D111*0.1/50</f>
        <v>0.2</v>
      </c>
      <c r="N111" s="73">
        <f>D111*9.5/50</f>
        <v>19</v>
      </c>
      <c r="O111" s="73">
        <f>D111*5.5/50</f>
        <v>11</v>
      </c>
      <c r="P111" s="74">
        <f>D111*0.015/50</f>
        <v>0.03</v>
      </c>
      <c r="Q111" s="73">
        <v>0.002</v>
      </c>
      <c r="R111" s="73">
        <f>D111*6/50</f>
        <v>12</v>
      </c>
      <c r="S111" s="73">
        <f>D111*1.15/50</f>
        <v>2.3</v>
      </c>
      <c r="T111" s="11"/>
      <c r="U111" s="24"/>
      <c r="V111" s="24"/>
      <c r="W111" s="24"/>
    </row>
    <row r="112" spans="1:23" s="3" customFormat="1" ht="11.25" customHeight="1">
      <c r="A112" s="79">
        <v>173</v>
      </c>
      <c r="B112" s="148" t="s">
        <v>90</v>
      </c>
      <c r="C112" s="149"/>
      <c r="D112" s="71">
        <v>20</v>
      </c>
      <c r="E112" s="73">
        <f>2.32*D112/10</f>
        <v>4.64</v>
      </c>
      <c r="F112" s="73">
        <f>3.4*D112/10</f>
        <v>6.8</v>
      </c>
      <c r="G112" s="73">
        <f>0.01*D112/10</f>
        <v>0.02</v>
      </c>
      <c r="H112" s="73">
        <f>E112*4+F112*9+G112*4</f>
        <v>79.83999999999999</v>
      </c>
      <c r="I112" s="73">
        <f>0.004*D112/10</f>
        <v>0.008</v>
      </c>
      <c r="J112" s="73">
        <f>0.03*D112/10</f>
        <v>0.06</v>
      </c>
      <c r="K112" s="73">
        <f>0.07*D112/10</f>
        <v>0.14</v>
      </c>
      <c r="L112" s="74">
        <f>0.023*D112/10</f>
        <v>0.046</v>
      </c>
      <c r="M112" s="73">
        <f>0.05*D112/10</f>
        <v>0.1</v>
      </c>
      <c r="N112" s="73">
        <f>88*D112/10</f>
        <v>176</v>
      </c>
      <c r="O112" s="73">
        <f>50*D112/10</f>
        <v>100</v>
      </c>
      <c r="P112" s="73">
        <f>0.4*D112/10</f>
        <v>0.8</v>
      </c>
      <c r="Q112" s="74">
        <f>0.02*D112/10</f>
        <v>0.04</v>
      </c>
      <c r="R112" s="73">
        <f>3.5*D112/10</f>
        <v>7</v>
      </c>
      <c r="S112" s="73">
        <f>0.13*D112/10</f>
        <v>0.26</v>
      </c>
      <c r="T112" s="75"/>
      <c r="U112" s="76"/>
      <c r="V112" s="76"/>
      <c r="W112" s="76"/>
    </row>
    <row r="113" spans="1:23" s="3" customFormat="1" ht="13.5" customHeight="1">
      <c r="A113" s="129">
        <v>382</v>
      </c>
      <c r="B113" s="148" t="s">
        <v>72</v>
      </c>
      <c r="C113" s="149"/>
      <c r="D113" s="71">
        <v>200</v>
      </c>
      <c r="E113" s="73">
        <v>7.3</v>
      </c>
      <c r="F113" s="70">
        <v>12.5</v>
      </c>
      <c r="G113" s="70">
        <v>54.3</v>
      </c>
      <c r="H113" s="70">
        <f>E113*4+F113*9+G113*4</f>
        <v>358.9</v>
      </c>
      <c r="I113" s="73">
        <v>0.14</v>
      </c>
      <c r="J113" s="73">
        <v>0.18</v>
      </c>
      <c r="K113" s="73">
        <v>3.35</v>
      </c>
      <c r="L113" s="74">
        <v>0.037</v>
      </c>
      <c r="M113" s="73">
        <v>1.3</v>
      </c>
      <c r="N113" s="70">
        <v>147.6</v>
      </c>
      <c r="O113" s="70">
        <v>198.6</v>
      </c>
      <c r="P113" s="71">
        <v>0</v>
      </c>
      <c r="Q113" s="70">
        <v>0</v>
      </c>
      <c r="R113" s="70">
        <v>57.8</v>
      </c>
      <c r="S113" s="73">
        <v>1.3</v>
      </c>
      <c r="T113" s="75"/>
      <c r="U113" s="76"/>
      <c r="V113" s="76"/>
      <c r="W113" s="76"/>
    </row>
    <row r="114" spans="1:23" s="1" customFormat="1" ht="11.25" customHeight="1">
      <c r="A114" s="79" t="s">
        <v>81</v>
      </c>
      <c r="B114" s="148" t="s">
        <v>109</v>
      </c>
      <c r="C114" s="149"/>
      <c r="D114" s="71">
        <v>200</v>
      </c>
      <c r="E114" s="73">
        <f>3.5*D114/200</f>
        <v>3.5</v>
      </c>
      <c r="F114" s="73">
        <f>3.7*D114/200</f>
        <v>3.7</v>
      </c>
      <c r="G114" s="73">
        <f>25.5*D114/200</f>
        <v>25.5</v>
      </c>
      <c r="H114" s="73">
        <f>E114*4+F114*9+G114*4</f>
        <v>149.3</v>
      </c>
      <c r="I114" s="73">
        <f>0.06*D114/200</f>
        <v>0.06</v>
      </c>
      <c r="J114" s="73">
        <f>0.006*D114/200</f>
        <v>0.006</v>
      </c>
      <c r="K114" s="73">
        <f>1.6*D114/200</f>
        <v>1.6</v>
      </c>
      <c r="L114" s="74">
        <f>0.04*D114/200</f>
        <v>0.04</v>
      </c>
      <c r="M114" s="73">
        <f>0.4*D114/200</f>
        <v>0.4</v>
      </c>
      <c r="N114" s="73">
        <f>102.6*D114/200</f>
        <v>102.6</v>
      </c>
      <c r="O114" s="73">
        <f>178.4*D114/200</f>
        <v>178.4</v>
      </c>
      <c r="P114" s="73">
        <f>1*D114/200</f>
        <v>1</v>
      </c>
      <c r="Q114" s="74">
        <f>0.001*D114/200</f>
        <v>0.001</v>
      </c>
      <c r="R114" s="73">
        <f>24.8*D114/200</f>
        <v>24.8</v>
      </c>
      <c r="S114" s="73">
        <f>0.48*D114/200</f>
        <v>0.48</v>
      </c>
      <c r="T114" s="37"/>
      <c r="U114" s="40"/>
      <c r="V114" s="40"/>
      <c r="W114" s="40"/>
    </row>
    <row r="115" spans="1:23" s="1" customFormat="1" ht="11.25" customHeight="1">
      <c r="A115" s="62" t="s">
        <v>27</v>
      </c>
      <c r="B115" s="148" t="s">
        <v>111</v>
      </c>
      <c r="C115" s="149"/>
      <c r="D115" s="71">
        <v>40</v>
      </c>
      <c r="E115" s="73">
        <f>1.52*D115/30</f>
        <v>2.0266666666666664</v>
      </c>
      <c r="F115" s="74">
        <f>0.16*D115/30</f>
        <v>0.21333333333333335</v>
      </c>
      <c r="G115" s="74">
        <f>9.84*D115/30</f>
        <v>13.120000000000001</v>
      </c>
      <c r="H115" s="74">
        <f>E115*4+F115*9+G115*4</f>
        <v>62.50666666666667</v>
      </c>
      <c r="I115" s="74">
        <f>0.02*D115/30</f>
        <v>0.02666666666666667</v>
      </c>
      <c r="J115" s="74">
        <f>0.01*D115/30</f>
        <v>0.013333333333333334</v>
      </c>
      <c r="K115" s="74">
        <f>0.44*D115/30</f>
        <v>0.5866666666666667</v>
      </c>
      <c r="L115" s="74">
        <v>0</v>
      </c>
      <c r="M115" s="74">
        <f>0.7*D115/30</f>
        <v>0.9333333333333333</v>
      </c>
      <c r="N115" s="74">
        <f>4*D115/30</f>
        <v>5.333333333333333</v>
      </c>
      <c r="O115" s="74">
        <f>13*D115/30</f>
        <v>17.333333333333332</v>
      </c>
      <c r="P115" s="74">
        <f>0.008*D115/30</f>
        <v>0.010666666666666666</v>
      </c>
      <c r="Q115" s="74">
        <f>0.001*D115/30</f>
        <v>0.0013333333333333333</v>
      </c>
      <c r="R115" s="74">
        <v>0</v>
      </c>
      <c r="S115" s="74">
        <f>0.22*D115/30</f>
        <v>0.29333333333333333</v>
      </c>
      <c r="T115" s="41"/>
      <c r="U115" s="40"/>
      <c r="V115" s="40"/>
      <c r="W115" s="40"/>
    </row>
    <row r="116" spans="1:23" s="1" customFormat="1" ht="19.5" customHeight="1">
      <c r="A116" s="136" t="s">
        <v>68</v>
      </c>
      <c r="B116" s="63" t="s">
        <v>123</v>
      </c>
      <c r="C116" s="63"/>
      <c r="D116" s="61">
        <v>584</v>
      </c>
      <c r="E116" s="38">
        <f>SUM(E111:E115)</f>
        <v>17.866666666666667</v>
      </c>
      <c r="F116" s="37">
        <f>SUM(F111:F115)</f>
        <v>23.513333333333335</v>
      </c>
      <c r="G116" s="37">
        <f>SUM(G111:G115)</f>
        <v>103.24000000000001</v>
      </c>
      <c r="H116" s="37">
        <f>SUM(H111:H115)</f>
        <v>696.0466666666666</v>
      </c>
      <c r="I116" s="38">
        <f>SUM(I111:I115)</f>
        <v>0.27466666666666667</v>
      </c>
      <c r="J116" s="38">
        <f aca="true" t="shared" si="16" ref="J116:S116">SUM(J111:J115)</f>
        <v>0.2793333333333333</v>
      </c>
      <c r="K116" s="38">
        <f t="shared" si="16"/>
        <v>10.676666666666666</v>
      </c>
      <c r="L116" s="39">
        <f t="shared" si="16"/>
        <v>0.128</v>
      </c>
      <c r="M116" s="38">
        <f t="shared" si="16"/>
        <v>2.9333333333333336</v>
      </c>
      <c r="N116" s="37">
        <f t="shared" si="16"/>
        <v>450.53333333333336</v>
      </c>
      <c r="O116" s="37">
        <f t="shared" si="16"/>
        <v>505.3333333333333</v>
      </c>
      <c r="P116" s="38">
        <f t="shared" si="16"/>
        <v>1.8406666666666667</v>
      </c>
      <c r="Q116" s="39">
        <f t="shared" si="16"/>
        <v>0.044333333333333336</v>
      </c>
      <c r="R116" s="37">
        <f t="shared" si="16"/>
        <v>101.6</v>
      </c>
      <c r="S116" s="38">
        <f t="shared" si="16"/>
        <v>4.633333333333333</v>
      </c>
      <c r="T116" s="75"/>
      <c r="U116" s="76"/>
      <c r="V116" s="76"/>
      <c r="W116" s="76"/>
    </row>
    <row r="117" spans="1:23" s="1" customFormat="1" ht="12" customHeight="1">
      <c r="A117" s="133" t="s">
        <v>28</v>
      </c>
      <c r="B117" s="137"/>
      <c r="C117" s="137"/>
      <c r="D117" s="138"/>
      <c r="E117" s="109">
        <f aca="true" t="shared" si="17" ref="E117:S117">E116/E134</f>
        <v>0.23203463203463204</v>
      </c>
      <c r="F117" s="78">
        <f t="shared" si="17"/>
        <v>0.2976371308016878</v>
      </c>
      <c r="G117" s="78">
        <f t="shared" si="17"/>
        <v>0.308179104477612</v>
      </c>
      <c r="H117" s="78">
        <f t="shared" si="17"/>
        <v>0.2961900709219858</v>
      </c>
      <c r="I117" s="78">
        <f t="shared" si="17"/>
        <v>0.2288888888888889</v>
      </c>
      <c r="J117" s="78">
        <f t="shared" si="17"/>
        <v>0.19952380952380952</v>
      </c>
      <c r="K117" s="78">
        <f t="shared" si="17"/>
        <v>0.17794444444444443</v>
      </c>
      <c r="L117" s="78">
        <f t="shared" si="17"/>
        <v>0.18285714285714288</v>
      </c>
      <c r="M117" s="78">
        <f t="shared" si="17"/>
        <v>0.29333333333333333</v>
      </c>
      <c r="N117" s="43">
        <f t="shared" si="17"/>
        <v>0.4095757575757576</v>
      </c>
      <c r="O117" s="78">
        <f t="shared" si="17"/>
        <v>0.45939393939393935</v>
      </c>
      <c r="P117" s="78">
        <f t="shared" si="17"/>
        <v>0.18406666666666666</v>
      </c>
      <c r="Q117" s="78">
        <f t="shared" si="17"/>
        <v>0.44333333333333336</v>
      </c>
      <c r="R117" s="78">
        <f t="shared" si="17"/>
        <v>0.4064</v>
      </c>
      <c r="S117" s="43">
        <f t="shared" si="17"/>
        <v>0.38611111111111107</v>
      </c>
      <c r="T117" s="12"/>
      <c r="U117" s="19"/>
      <c r="V117" s="19"/>
      <c r="W117" s="19"/>
    </row>
    <row r="118" spans="1:23" s="1" customFormat="1" ht="11.25" customHeight="1">
      <c r="A118" s="129">
        <v>45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5"/>
      <c r="T118" s="12"/>
      <c r="U118" s="19"/>
      <c r="V118" s="19"/>
      <c r="W118" s="19"/>
    </row>
    <row r="119" spans="1:23" s="1" customFormat="1" ht="23.25" customHeight="1">
      <c r="A119" s="114">
        <v>96</v>
      </c>
      <c r="B119" s="147" t="s">
        <v>105</v>
      </c>
      <c r="C119" s="147"/>
      <c r="D119" s="71">
        <v>60</v>
      </c>
      <c r="E119" s="73">
        <f>0.9*D119/60</f>
        <v>0.9</v>
      </c>
      <c r="F119" s="73">
        <f>1.31*D119/60</f>
        <v>1.31</v>
      </c>
      <c r="G119" s="73">
        <f>5.6*D119/60</f>
        <v>5.6</v>
      </c>
      <c r="H119" s="73">
        <f aca="true" t="shared" si="18" ref="H119:H124">E119*4+F119*9+G119*4</f>
        <v>37.79</v>
      </c>
      <c r="I119" s="73">
        <f>0.06*D119/60</f>
        <v>0.05999999999999999</v>
      </c>
      <c r="J119" s="73">
        <f>0.07*D119/60</f>
        <v>0.07</v>
      </c>
      <c r="K119" s="73">
        <f>15.5*D119/60</f>
        <v>15.5</v>
      </c>
      <c r="L119" s="74">
        <f>0.071*D119/60</f>
        <v>0.071</v>
      </c>
      <c r="M119" s="73">
        <f>0.3*D119/60</f>
        <v>0.3</v>
      </c>
      <c r="N119" s="73">
        <f>28.2*D119/60</f>
        <v>28.2</v>
      </c>
      <c r="O119" s="73">
        <f>18.9*D119/60</f>
        <v>18.9</v>
      </c>
      <c r="P119" s="73">
        <f>0.2*D119/60</f>
        <v>0.2</v>
      </c>
      <c r="Q119" s="74">
        <f>0.001*D119/60</f>
        <v>0.001</v>
      </c>
      <c r="R119" s="73">
        <f>10.5*D119/60</f>
        <v>10.5</v>
      </c>
      <c r="S119" s="73">
        <f>0.6*D119/60</f>
        <v>0.6</v>
      </c>
      <c r="T119" s="14"/>
      <c r="U119" s="20"/>
      <c r="V119" s="20"/>
      <c r="W119" s="20"/>
    </row>
    <row r="120" spans="1:23" s="1" customFormat="1" ht="13.5" customHeight="1">
      <c r="A120" s="68">
        <v>268</v>
      </c>
      <c r="B120" s="148" t="s">
        <v>114</v>
      </c>
      <c r="C120" s="149"/>
      <c r="D120" s="71">
        <v>200</v>
      </c>
      <c r="E120" s="73">
        <f>2.6*D120/250</f>
        <v>2.08</v>
      </c>
      <c r="F120" s="70">
        <f>6.13*D120/250</f>
        <v>4.904</v>
      </c>
      <c r="G120" s="70">
        <f>17.03*D120/250</f>
        <v>13.624</v>
      </c>
      <c r="H120" s="73">
        <f t="shared" si="18"/>
        <v>106.952</v>
      </c>
      <c r="I120" s="73">
        <f>0.123*D120/250</f>
        <v>0.0984</v>
      </c>
      <c r="J120" s="74">
        <f>0.074*D120/250</f>
        <v>0.059199999999999996</v>
      </c>
      <c r="K120" s="70">
        <f>16.03*D120/250</f>
        <v>12.824</v>
      </c>
      <c r="L120" s="73">
        <f>0.035*D120/250</f>
        <v>0.028000000000000004</v>
      </c>
      <c r="M120" s="69">
        <v>0</v>
      </c>
      <c r="N120" s="70">
        <f>25.3*D120/250</f>
        <v>20.24</v>
      </c>
      <c r="O120" s="70">
        <f>71.05*D120/250</f>
        <v>56.84</v>
      </c>
      <c r="P120" s="71">
        <v>0</v>
      </c>
      <c r="Q120" s="71">
        <v>0</v>
      </c>
      <c r="R120" s="70">
        <f>26.725*D120/250</f>
        <v>21.38</v>
      </c>
      <c r="S120" s="73">
        <f>0.95*D120/250</f>
        <v>0.76</v>
      </c>
      <c r="T120" s="9"/>
      <c r="U120" s="22"/>
      <c r="V120" s="22"/>
      <c r="W120" s="22"/>
    </row>
    <row r="121" spans="1:23" s="1" customFormat="1" ht="21" customHeight="1">
      <c r="A121" s="129">
        <v>203</v>
      </c>
      <c r="B121" s="148" t="s">
        <v>106</v>
      </c>
      <c r="C121" s="149"/>
      <c r="D121" s="81">
        <v>90</v>
      </c>
      <c r="E121" s="130">
        <f>14.8*D121/80</f>
        <v>16.65</v>
      </c>
      <c r="F121" s="130">
        <f>20.69*D121/80</f>
        <v>23.27625</v>
      </c>
      <c r="G121" s="130">
        <f>3.81*D121/80</f>
        <v>4.28625</v>
      </c>
      <c r="H121" s="130">
        <f t="shared" si="18"/>
        <v>293.23125</v>
      </c>
      <c r="I121" s="83">
        <f>0.18*D121/80</f>
        <v>0.20249999999999999</v>
      </c>
      <c r="J121" s="130">
        <f>0.12*D121/80</f>
        <v>0.13499999999999998</v>
      </c>
      <c r="K121" s="130">
        <f>0.43*D121/80</f>
        <v>0.48375</v>
      </c>
      <c r="L121" s="83">
        <f>0.04*D121/80</f>
        <v>0.045</v>
      </c>
      <c r="M121" s="83">
        <f>0.01*D121/80</f>
        <v>0.01125</v>
      </c>
      <c r="N121" s="130">
        <f>48.45*D121/80</f>
        <v>54.50625</v>
      </c>
      <c r="O121" s="130">
        <f>177.9*D121/80</f>
        <v>200.1375</v>
      </c>
      <c r="P121" s="83">
        <f>2.28*D121/80</f>
        <v>2.565</v>
      </c>
      <c r="Q121" s="83">
        <f>0.04*D121/80</f>
        <v>0.045</v>
      </c>
      <c r="R121" s="130">
        <f>24.45*D121/80</f>
        <v>27.50625</v>
      </c>
      <c r="S121" s="130">
        <f>1.93*D121/80</f>
        <v>2.1712499999999997</v>
      </c>
      <c r="T121" s="9"/>
      <c r="U121" s="22"/>
      <c r="V121" s="22"/>
      <c r="W121" s="22"/>
    </row>
    <row r="122" spans="1:23" s="1" customFormat="1" ht="11.25" customHeight="1">
      <c r="A122" s="114">
        <v>389</v>
      </c>
      <c r="B122" s="148" t="s">
        <v>92</v>
      </c>
      <c r="C122" s="149"/>
      <c r="D122" s="71">
        <v>150</v>
      </c>
      <c r="E122" s="73">
        <f>5.7*D122/150</f>
        <v>5.7</v>
      </c>
      <c r="F122" s="73">
        <f>3.43*D122/150</f>
        <v>3.43</v>
      </c>
      <c r="G122" s="73">
        <f>36.45*D122/150</f>
        <v>36.45</v>
      </c>
      <c r="H122" s="73">
        <f t="shared" si="18"/>
        <v>199.47000000000003</v>
      </c>
      <c r="I122" s="73">
        <f>0.09*D122/150</f>
        <v>0.09</v>
      </c>
      <c r="J122" s="73">
        <f>0.03*D122/150</f>
        <v>0.03</v>
      </c>
      <c r="K122" s="73">
        <v>0</v>
      </c>
      <c r="L122" s="74">
        <f>0.03*D122/150</f>
        <v>0.03</v>
      </c>
      <c r="M122" s="73">
        <f>1.25*D122/150</f>
        <v>1.25</v>
      </c>
      <c r="N122" s="73">
        <f>13.28*D122/150</f>
        <v>13.28</v>
      </c>
      <c r="O122" s="73">
        <f>46.21*D122/150</f>
        <v>46.21</v>
      </c>
      <c r="P122" s="73">
        <f>0.78*D122/150</f>
        <v>0.78</v>
      </c>
      <c r="Q122" s="74">
        <f>0.0015*D122/150</f>
        <v>0.0015</v>
      </c>
      <c r="R122" s="73">
        <f>8.47*D122/150</f>
        <v>8.47</v>
      </c>
      <c r="S122" s="73">
        <f>0.86*D122/150</f>
        <v>0.86</v>
      </c>
      <c r="T122" s="11"/>
      <c r="U122" s="24"/>
      <c r="V122" s="24"/>
      <c r="W122" s="24"/>
    </row>
    <row r="123" spans="1:23" s="1" customFormat="1" ht="11.25" customHeight="1">
      <c r="A123" s="80" t="s">
        <v>81</v>
      </c>
      <c r="B123" s="148" t="s">
        <v>104</v>
      </c>
      <c r="C123" s="149"/>
      <c r="D123" s="71">
        <v>200</v>
      </c>
      <c r="E123" s="73">
        <v>1</v>
      </c>
      <c r="F123" s="73">
        <v>0.2</v>
      </c>
      <c r="G123" s="73">
        <v>20.2</v>
      </c>
      <c r="H123" s="73">
        <f t="shared" si="18"/>
        <v>86.6</v>
      </c>
      <c r="I123" s="69">
        <v>0.02</v>
      </c>
      <c r="J123" s="69">
        <v>0.02</v>
      </c>
      <c r="K123" s="70">
        <v>4.8</v>
      </c>
      <c r="L123" s="69">
        <v>0</v>
      </c>
      <c r="M123" s="69">
        <v>0</v>
      </c>
      <c r="N123" s="70">
        <v>14</v>
      </c>
      <c r="O123" s="70">
        <v>18</v>
      </c>
      <c r="P123" s="70">
        <v>0.03</v>
      </c>
      <c r="Q123" s="70">
        <v>0</v>
      </c>
      <c r="R123" s="70">
        <v>8</v>
      </c>
      <c r="S123" s="73">
        <v>0.72</v>
      </c>
      <c r="T123" s="11"/>
      <c r="U123" s="24"/>
      <c r="V123" s="24"/>
      <c r="W123" s="24"/>
    </row>
    <row r="124" spans="1:23" s="1" customFormat="1" ht="13.5" customHeight="1">
      <c r="A124" s="62" t="s">
        <v>29</v>
      </c>
      <c r="B124" s="148" t="s">
        <v>46</v>
      </c>
      <c r="C124" s="149"/>
      <c r="D124" s="71">
        <v>40</v>
      </c>
      <c r="E124" s="73">
        <f>2.64*D124/40</f>
        <v>2.64</v>
      </c>
      <c r="F124" s="73">
        <f>0.48*D124/40</f>
        <v>0.48</v>
      </c>
      <c r="G124" s="73">
        <f>13.68*D124/40</f>
        <v>13.680000000000001</v>
      </c>
      <c r="H124" s="70">
        <f t="shared" si="18"/>
        <v>69.60000000000001</v>
      </c>
      <c r="I124" s="69">
        <f>0.08*D124/40</f>
        <v>0.08</v>
      </c>
      <c r="J124" s="73">
        <f>0.04*D124/40</f>
        <v>0.04</v>
      </c>
      <c r="K124" s="71">
        <v>0</v>
      </c>
      <c r="L124" s="71">
        <v>0</v>
      </c>
      <c r="M124" s="73">
        <f>2.4*D124/40</f>
        <v>2.4</v>
      </c>
      <c r="N124" s="73">
        <f>14*D124/40</f>
        <v>14</v>
      </c>
      <c r="O124" s="73">
        <f>63.2*D124/40</f>
        <v>63.2</v>
      </c>
      <c r="P124" s="73">
        <f>1.2*D124/40</f>
        <v>1.2</v>
      </c>
      <c r="Q124" s="74">
        <f>0.001*D124/40</f>
        <v>0.001</v>
      </c>
      <c r="R124" s="73">
        <f>9.4*D124/40</f>
        <v>9.4</v>
      </c>
      <c r="S124" s="69">
        <f>0.78*D124/40</f>
        <v>0.78</v>
      </c>
      <c r="T124" s="11"/>
      <c r="U124" s="24"/>
      <c r="V124" s="24"/>
      <c r="W124" s="24"/>
    </row>
    <row r="125" spans="1:23" s="3" customFormat="1" ht="11.25" customHeight="1" hidden="1">
      <c r="A125" s="136" t="s">
        <v>68</v>
      </c>
      <c r="B125" s="63"/>
      <c r="C125" s="63"/>
      <c r="D125" s="61">
        <v>780</v>
      </c>
      <c r="E125" s="38">
        <f>SUM(E120:E124)</f>
        <v>28.069999999999997</v>
      </c>
      <c r="F125" s="37">
        <f>SUM(F120:F124)</f>
        <v>32.29025</v>
      </c>
      <c r="G125" s="49">
        <f>SUM(G120:G124)</f>
        <v>88.24025000000002</v>
      </c>
      <c r="H125" s="37">
        <f>SUM(H120:H124)</f>
        <v>755.8532500000001</v>
      </c>
      <c r="I125" s="37">
        <f aca="true" t="shared" si="19" ref="I125:S125">SUM(I120:I124)</f>
        <v>0.49090000000000006</v>
      </c>
      <c r="J125" s="37">
        <f t="shared" si="19"/>
        <v>0.28419999999999995</v>
      </c>
      <c r="K125" s="37">
        <f t="shared" si="19"/>
        <v>18.10775</v>
      </c>
      <c r="L125" s="38">
        <f t="shared" si="19"/>
        <v>0.10300000000000001</v>
      </c>
      <c r="M125" s="38">
        <f t="shared" si="19"/>
        <v>3.66125</v>
      </c>
      <c r="N125" s="49">
        <f t="shared" si="19"/>
        <v>116.02625</v>
      </c>
      <c r="O125" s="37">
        <f t="shared" si="19"/>
        <v>384.38749999999993</v>
      </c>
      <c r="P125" s="39">
        <f t="shared" si="19"/>
        <v>4.574999999999999</v>
      </c>
      <c r="Q125" s="39">
        <f t="shared" si="19"/>
        <v>0.0475</v>
      </c>
      <c r="R125" s="37">
        <f t="shared" si="19"/>
        <v>74.75625000000001</v>
      </c>
      <c r="S125" s="38">
        <f t="shared" si="19"/>
        <v>5.29125</v>
      </c>
      <c r="T125" s="75"/>
      <c r="U125" s="76"/>
      <c r="V125" s="76"/>
      <c r="W125" s="76"/>
    </row>
    <row r="126" spans="1:23" s="3" customFormat="1" ht="13.5" customHeight="1" hidden="1">
      <c r="A126" s="133"/>
      <c r="B126" s="137"/>
      <c r="C126" s="137"/>
      <c r="D126" s="138"/>
      <c r="E126" s="109">
        <f>E125/E134</f>
        <v>0.3645454545454545</v>
      </c>
      <c r="F126" s="78">
        <f aca="true" t="shared" si="20" ref="F126:S126">F125/F134</f>
        <v>0.40873734177215193</v>
      </c>
      <c r="G126" s="78">
        <f t="shared" si="20"/>
        <v>0.26340373134328365</v>
      </c>
      <c r="H126" s="78">
        <f t="shared" si="20"/>
        <v>0.32163968085106387</v>
      </c>
      <c r="I126" s="78">
        <f t="shared" si="20"/>
        <v>0.4090833333333334</v>
      </c>
      <c r="J126" s="78">
        <f t="shared" si="20"/>
        <v>0.20299999999999999</v>
      </c>
      <c r="K126" s="78">
        <f t="shared" si="20"/>
        <v>0.3017958333333333</v>
      </c>
      <c r="L126" s="78">
        <f t="shared" si="20"/>
        <v>0.14714285714285716</v>
      </c>
      <c r="M126" s="78">
        <f t="shared" si="20"/>
        <v>0.366125</v>
      </c>
      <c r="N126" s="43">
        <f t="shared" si="20"/>
        <v>0.1054784090909091</v>
      </c>
      <c r="O126" s="78">
        <f t="shared" si="20"/>
        <v>0.34944318181818174</v>
      </c>
      <c r="P126" s="78">
        <f t="shared" si="20"/>
        <v>0.4574999999999999</v>
      </c>
      <c r="Q126" s="78">
        <f t="shared" si="20"/>
        <v>0.475</v>
      </c>
      <c r="R126" s="78">
        <f t="shared" si="20"/>
        <v>0.29902500000000004</v>
      </c>
      <c r="S126" s="43">
        <f t="shared" si="20"/>
        <v>0.4409375</v>
      </c>
      <c r="T126" s="75"/>
      <c r="U126" s="76"/>
      <c r="V126" s="76"/>
      <c r="W126" s="76"/>
    </row>
    <row r="127" spans="1:23" s="72" customFormat="1" ht="11.25" hidden="1">
      <c r="A127" s="11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5"/>
      <c r="T127" s="75"/>
      <c r="U127" s="76"/>
      <c r="V127" s="76"/>
      <c r="W127" s="76"/>
    </row>
    <row r="128" spans="1:23" s="3" customFormat="1" ht="11.25" customHeight="1" hidden="1">
      <c r="A128" s="102"/>
      <c r="B128" s="148"/>
      <c r="C128" s="149"/>
      <c r="D128" s="71"/>
      <c r="E128" s="73"/>
      <c r="F128" s="73"/>
      <c r="G128" s="73"/>
      <c r="H128" s="73"/>
      <c r="I128" s="73"/>
      <c r="J128" s="73"/>
      <c r="K128" s="73"/>
      <c r="L128" s="71"/>
      <c r="M128" s="69"/>
      <c r="N128" s="70"/>
      <c r="O128" s="73"/>
      <c r="P128" s="73"/>
      <c r="Q128" s="74"/>
      <c r="R128" s="73"/>
      <c r="S128" s="73"/>
      <c r="T128" s="75"/>
      <c r="U128" s="76"/>
      <c r="V128" s="76"/>
      <c r="W128" s="76"/>
    </row>
    <row r="129" spans="1:23" s="3" customFormat="1" ht="12.75" customHeight="1" hidden="1">
      <c r="A129" s="114"/>
      <c r="B129" s="147"/>
      <c r="C129" s="147"/>
      <c r="D129" s="71"/>
      <c r="E129" s="73"/>
      <c r="F129" s="69"/>
      <c r="G129" s="70"/>
      <c r="H129" s="73"/>
      <c r="I129" s="69"/>
      <c r="J129" s="69"/>
      <c r="K129" s="69"/>
      <c r="L129" s="73"/>
      <c r="M129" s="69"/>
      <c r="N129" s="70"/>
      <c r="O129" s="70"/>
      <c r="P129" s="71"/>
      <c r="Q129" s="71"/>
      <c r="R129" s="70"/>
      <c r="S129" s="73"/>
      <c r="T129" s="75"/>
      <c r="U129" s="76"/>
      <c r="V129" s="76"/>
      <c r="W129" s="76"/>
    </row>
    <row r="130" spans="1:23" s="3" customFormat="1" ht="11.25" customHeight="1">
      <c r="A130" s="62"/>
      <c r="B130" s="148"/>
      <c r="C130" s="149"/>
      <c r="D130" s="71"/>
      <c r="E130" s="73"/>
      <c r="F130" s="69"/>
      <c r="G130" s="73"/>
      <c r="H130" s="73"/>
      <c r="I130" s="69"/>
      <c r="J130" s="69"/>
      <c r="K130" s="70"/>
      <c r="L130" s="69"/>
      <c r="M130" s="69"/>
      <c r="N130" s="70"/>
      <c r="O130" s="70"/>
      <c r="P130" s="70"/>
      <c r="Q130" s="74"/>
      <c r="R130" s="71"/>
      <c r="S130" s="73"/>
      <c r="T130" s="37"/>
      <c r="U130" s="40"/>
      <c r="V130" s="40"/>
      <c r="W130" s="40"/>
    </row>
    <row r="131" spans="1:23" s="3" customFormat="1" ht="11.25" customHeight="1">
      <c r="A131" s="136"/>
      <c r="B131" s="63"/>
      <c r="C131" s="63"/>
      <c r="D131" s="66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48"/>
      <c r="U131" s="40"/>
      <c r="V131" s="40"/>
      <c r="W131" s="40"/>
    </row>
    <row r="132" spans="1:23" s="3" customFormat="1" ht="11.25" customHeight="1">
      <c r="A132" s="139" t="s">
        <v>67</v>
      </c>
      <c r="B132" s="137"/>
      <c r="C132" s="137"/>
      <c r="D132" s="13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43"/>
      <c r="T132" s="11"/>
      <c r="U132" s="24"/>
      <c r="V132" s="24"/>
      <c r="W132" s="24"/>
    </row>
    <row r="133" spans="1:23" s="3" customFormat="1" ht="15" customHeight="1">
      <c r="A133" s="139" t="s">
        <v>69</v>
      </c>
      <c r="B133" s="140"/>
      <c r="C133" s="140"/>
      <c r="D133" s="141"/>
      <c r="E133" s="38">
        <f aca="true" t="shared" si="21" ref="E133:S133">SUM(E116,E125,E131)</f>
        <v>45.93666666666667</v>
      </c>
      <c r="F133" s="37">
        <f t="shared" si="21"/>
        <v>55.803583333333336</v>
      </c>
      <c r="G133" s="37">
        <f t="shared" si="21"/>
        <v>191.48025</v>
      </c>
      <c r="H133" s="37">
        <f t="shared" si="21"/>
        <v>1451.8999166666667</v>
      </c>
      <c r="I133" s="38">
        <f t="shared" si="21"/>
        <v>0.7655666666666667</v>
      </c>
      <c r="J133" s="38">
        <f t="shared" si="21"/>
        <v>0.5635333333333332</v>
      </c>
      <c r="K133" s="37">
        <f t="shared" si="21"/>
        <v>28.784416666666665</v>
      </c>
      <c r="L133" s="38">
        <f t="shared" si="21"/>
        <v>0.231</v>
      </c>
      <c r="M133" s="38">
        <f t="shared" si="21"/>
        <v>6.5945833333333335</v>
      </c>
      <c r="N133" s="37">
        <f t="shared" si="21"/>
        <v>566.5595833333334</v>
      </c>
      <c r="O133" s="37">
        <f t="shared" si="21"/>
        <v>889.7208333333333</v>
      </c>
      <c r="P133" s="38">
        <f t="shared" si="21"/>
        <v>6.415666666666666</v>
      </c>
      <c r="Q133" s="39">
        <f t="shared" si="21"/>
        <v>0.09183333333333334</v>
      </c>
      <c r="R133" s="38">
        <f t="shared" si="21"/>
        <v>176.35625</v>
      </c>
      <c r="S133" s="38">
        <f t="shared" si="21"/>
        <v>9.924583333333333</v>
      </c>
      <c r="T133" s="75"/>
      <c r="U133" s="76"/>
      <c r="V133" s="76"/>
      <c r="W133" s="76"/>
    </row>
    <row r="134" spans="1:23" s="72" customFormat="1" ht="21.75" customHeight="1">
      <c r="A134" s="136" t="s">
        <v>68</v>
      </c>
      <c r="B134" s="140"/>
      <c r="C134" s="140"/>
      <c r="D134" s="141"/>
      <c r="E134" s="73">
        <v>77</v>
      </c>
      <c r="F134" s="70">
        <v>79</v>
      </c>
      <c r="G134" s="70">
        <v>335</v>
      </c>
      <c r="H134" s="70">
        <v>2350</v>
      </c>
      <c r="I134" s="73">
        <v>1.2</v>
      </c>
      <c r="J134" s="73">
        <v>1.4</v>
      </c>
      <c r="K134" s="71">
        <v>60</v>
      </c>
      <c r="L134" s="73">
        <v>0.7</v>
      </c>
      <c r="M134" s="71">
        <v>10</v>
      </c>
      <c r="N134" s="71">
        <v>1100</v>
      </c>
      <c r="O134" s="71">
        <v>1100</v>
      </c>
      <c r="P134" s="71">
        <v>10</v>
      </c>
      <c r="Q134" s="70">
        <v>0.1</v>
      </c>
      <c r="R134" s="71">
        <v>250</v>
      </c>
      <c r="S134" s="73">
        <v>12</v>
      </c>
      <c r="T134" s="75"/>
      <c r="U134" s="76"/>
      <c r="V134" s="76"/>
      <c r="W134" s="76"/>
    </row>
    <row r="135" spans="1:23" s="3" customFormat="1" ht="12.75" customHeight="1">
      <c r="A135" s="56" t="s">
        <v>103</v>
      </c>
      <c r="B135" s="137"/>
      <c r="C135" s="137"/>
      <c r="D135" s="138"/>
      <c r="E135" s="78">
        <f aca="true" t="shared" si="22" ref="E135:S135">E133/E134</f>
        <v>0.5965800865800865</v>
      </c>
      <c r="F135" s="43">
        <f t="shared" si="22"/>
        <v>0.7063744725738397</v>
      </c>
      <c r="G135" s="43">
        <f t="shared" si="22"/>
        <v>0.5715828358208955</v>
      </c>
      <c r="H135" s="43">
        <f t="shared" si="22"/>
        <v>0.6178297517730497</v>
      </c>
      <c r="I135" s="43">
        <f t="shared" si="22"/>
        <v>0.6379722222222223</v>
      </c>
      <c r="J135" s="43">
        <f t="shared" si="22"/>
        <v>0.40252380952380945</v>
      </c>
      <c r="K135" s="43">
        <f t="shared" si="22"/>
        <v>0.4797402777777778</v>
      </c>
      <c r="L135" s="44">
        <f t="shared" si="22"/>
        <v>0.33</v>
      </c>
      <c r="M135" s="44">
        <f t="shared" si="22"/>
        <v>0.6594583333333334</v>
      </c>
      <c r="N135" s="43">
        <f t="shared" si="22"/>
        <v>0.5150541666666667</v>
      </c>
      <c r="O135" s="43">
        <f t="shared" si="22"/>
        <v>0.8088371212121211</v>
      </c>
      <c r="P135" s="43">
        <f t="shared" si="22"/>
        <v>0.6415666666666666</v>
      </c>
      <c r="Q135" s="44">
        <f t="shared" si="22"/>
        <v>0.9183333333333333</v>
      </c>
      <c r="R135" s="43">
        <f t="shared" si="22"/>
        <v>0.705425</v>
      </c>
      <c r="S135" s="44">
        <f t="shared" si="22"/>
        <v>0.827048611111111</v>
      </c>
      <c r="T135" s="75"/>
      <c r="U135" s="76"/>
      <c r="V135" s="76"/>
      <c r="W135" s="76"/>
    </row>
    <row r="136" spans="1:23" s="3" customFormat="1" ht="15.75" customHeight="1">
      <c r="A136" s="56"/>
      <c r="B136" s="56"/>
      <c r="C136" s="115"/>
      <c r="D136" s="115"/>
      <c r="E136" s="105"/>
      <c r="F136" s="72"/>
      <c r="G136" s="2"/>
      <c r="H136" s="2"/>
      <c r="I136" s="72"/>
      <c r="J136" s="72"/>
      <c r="K136" s="72"/>
      <c r="L136" s="174" t="s">
        <v>80</v>
      </c>
      <c r="M136" s="174"/>
      <c r="N136" s="174"/>
      <c r="O136" s="174"/>
      <c r="P136" s="174"/>
      <c r="Q136" s="174"/>
      <c r="R136" s="174"/>
      <c r="S136" s="174"/>
      <c r="T136" s="75"/>
      <c r="U136" s="76"/>
      <c r="V136" s="76"/>
      <c r="W136" s="76"/>
    </row>
    <row r="137" spans="1:23" s="3" customFormat="1" ht="10.5" customHeight="1">
      <c r="A137" s="142" t="s">
        <v>36</v>
      </c>
      <c r="B137" s="56"/>
      <c r="C137" s="115"/>
      <c r="D137" s="115"/>
      <c r="E137" s="105"/>
      <c r="F137" s="72"/>
      <c r="G137" s="2"/>
      <c r="H137" s="2"/>
      <c r="I137" s="72"/>
      <c r="J137" s="72"/>
      <c r="K137" s="72"/>
      <c r="L137" s="116"/>
      <c r="M137" s="116"/>
      <c r="N137" s="116"/>
      <c r="O137" s="116"/>
      <c r="P137" s="116"/>
      <c r="Q137" s="116"/>
      <c r="R137" s="116"/>
      <c r="S137" s="116"/>
      <c r="T137" s="75"/>
      <c r="U137" s="76"/>
      <c r="V137" s="76"/>
      <c r="W137" s="76"/>
    </row>
    <row r="138" spans="1:23" s="3" customFormat="1" ht="11.25" customHeight="1">
      <c r="A138" s="60" t="s">
        <v>59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30"/>
      <c r="U138" s="31"/>
      <c r="V138" s="31"/>
      <c r="W138" s="31"/>
    </row>
    <row r="139" spans="1:23" s="3" customFormat="1" ht="11.25" customHeight="1">
      <c r="A139" s="56"/>
      <c r="B139" s="56"/>
      <c r="C139" s="56"/>
      <c r="D139" s="2"/>
      <c r="E139" s="35"/>
      <c r="F139" s="175" t="s">
        <v>37</v>
      </c>
      <c r="G139" s="175"/>
      <c r="H139" s="175"/>
      <c r="I139" s="72"/>
      <c r="J139" s="72"/>
      <c r="K139" s="171" t="s">
        <v>2</v>
      </c>
      <c r="L139" s="171"/>
      <c r="M139" s="168" t="s">
        <v>78</v>
      </c>
      <c r="N139" s="168"/>
      <c r="O139" s="168"/>
      <c r="P139" s="168"/>
      <c r="Q139" s="72"/>
      <c r="R139" s="72"/>
      <c r="S139" s="72"/>
      <c r="T139" s="75"/>
      <c r="U139" s="76"/>
      <c r="V139" s="76"/>
      <c r="W139" s="76"/>
    </row>
    <row r="140" spans="1:23" s="3" customFormat="1" ht="11.25" customHeight="1">
      <c r="A140" s="169" t="s">
        <v>5</v>
      </c>
      <c r="B140" s="56"/>
      <c r="C140" s="56"/>
      <c r="D140" s="189" t="s">
        <v>3</v>
      </c>
      <c r="E140" s="189"/>
      <c r="F140" s="7">
        <v>1</v>
      </c>
      <c r="G140" s="72"/>
      <c r="H140" s="2"/>
      <c r="I140" s="2"/>
      <c r="J140" s="2"/>
      <c r="K140" s="189" t="s">
        <v>4</v>
      </c>
      <c r="L140" s="189"/>
      <c r="M140" s="185" t="s">
        <v>61</v>
      </c>
      <c r="N140" s="185"/>
      <c r="O140" s="185"/>
      <c r="P140" s="185"/>
      <c r="Q140" s="185"/>
      <c r="R140" s="185"/>
      <c r="S140" s="185"/>
      <c r="T140" s="37"/>
      <c r="U140" s="40"/>
      <c r="V140" s="40"/>
      <c r="W140" s="40"/>
    </row>
    <row r="141" spans="1:23" s="3" customFormat="1" ht="11.25" customHeight="1">
      <c r="A141" s="170"/>
      <c r="B141" s="187" t="s">
        <v>6</v>
      </c>
      <c r="C141" s="188"/>
      <c r="D141" s="169" t="s">
        <v>7</v>
      </c>
      <c r="E141" s="165" t="s">
        <v>8</v>
      </c>
      <c r="F141" s="166"/>
      <c r="G141" s="167"/>
      <c r="H141" s="169" t="s">
        <v>9</v>
      </c>
      <c r="I141" s="165" t="s">
        <v>10</v>
      </c>
      <c r="J141" s="166"/>
      <c r="K141" s="166"/>
      <c r="L141" s="166"/>
      <c r="M141" s="167"/>
      <c r="N141" s="165" t="s">
        <v>11</v>
      </c>
      <c r="O141" s="166"/>
      <c r="P141" s="166"/>
      <c r="Q141" s="166"/>
      <c r="R141" s="166"/>
      <c r="S141" s="167"/>
      <c r="T141" s="48"/>
      <c r="U141" s="40"/>
      <c r="V141" s="40"/>
      <c r="W141" s="40"/>
    </row>
    <row r="142" spans="1:23" s="3" customFormat="1" ht="12" customHeight="1">
      <c r="A142" s="114">
        <v>1</v>
      </c>
      <c r="B142" s="172"/>
      <c r="C142" s="173"/>
      <c r="D142" s="170"/>
      <c r="E142" s="103" t="s">
        <v>12</v>
      </c>
      <c r="F142" s="117" t="s">
        <v>13</v>
      </c>
      <c r="G142" s="117" t="s">
        <v>14</v>
      </c>
      <c r="H142" s="170"/>
      <c r="I142" s="117" t="s">
        <v>15</v>
      </c>
      <c r="J142" s="117" t="s">
        <v>62</v>
      </c>
      <c r="K142" s="117" t="s">
        <v>16</v>
      </c>
      <c r="L142" s="117" t="s">
        <v>17</v>
      </c>
      <c r="M142" s="117" t="s">
        <v>18</v>
      </c>
      <c r="N142" s="117" t="s">
        <v>19</v>
      </c>
      <c r="O142" s="117" t="s">
        <v>20</v>
      </c>
      <c r="P142" s="117" t="s">
        <v>63</v>
      </c>
      <c r="Q142" s="117" t="s">
        <v>64</v>
      </c>
      <c r="R142" s="117" t="s">
        <v>21</v>
      </c>
      <c r="S142" s="117" t="s">
        <v>22</v>
      </c>
      <c r="T142" s="75"/>
      <c r="U142" s="76"/>
      <c r="V142" s="76"/>
      <c r="W142" s="76"/>
    </row>
    <row r="143" spans="1:23" s="1" customFormat="1" ht="11.25" customHeight="1">
      <c r="A143" s="133" t="s">
        <v>26</v>
      </c>
      <c r="B143" s="157">
        <v>2</v>
      </c>
      <c r="C143" s="158"/>
      <c r="D143" s="36">
        <v>3</v>
      </c>
      <c r="E143" s="104">
        <v>4</v>
      </c>
      <c r="F143" s="36">
        <v>5</v>
      </c>
      <c r="G143" s="36">
        <v>6</v>
      </c>
      <c r="H143" s="36">
        <v>7</v>
      </c>
      <c r="I143" s="36">
        <v>8</v>
      </c>
      <c r="J143" s="36">
        <v>9</v>
      </c>
      <c r="K143" s="36">
        <v>10</v>
      </c>
      <c r="L143" s="36">
        <v>11</v>
      </c>
      <c r="M143" s="36">
        <v>12</v>
      </c>
      <c r="N143" s="36">
        <v>13</v>
      </c>
      <c r="O143" s="36">
        <v>14</v>
      </c>
      <c r="P143" s="36">
        <v>15</v>
      </c>
      <c r="Q143" s="36">
        <v>16</v>
      </c>
      <c r="R143" s="36">
        <v>17</v>
      </c>
      <c r="S143" s="36">
        <v>18</v>
      </c>
      <c r="T143" s="41"/>
      <c r="U143" s="40"/>
      <c r="V143" s="40"/>
      <c r="W143" s="40"/>
    </row>
    <row r="144" spans="1:23" s="1" customFormat="1" ht="11.25" customHeight="1">
      <c r="A144" s="132">
        <v>1</v>
      </c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5"/>
      <c r="T144" s="45"/>
      <c r="U144" s="46"/>
      <c r="V144" s="46"/>
      <c r="W144" s="46"/>
    </row>
    <row r="145" spans="1:23" s="1" customFormat="1" ht="11.25" customHeight="1">
      <c r="A145" s="119">
        <v>15</v>
      </c>
      <c r="B145" s="200" t="s">
        <v>131</v>
      </c>
      <c r="C145" s="190"/>
      <c r="D145" s="88">
        <v>80</v>
      </c>
      <c r="E145" s="201">
        <v>5.1</v>
      </c>
      <c r="F145" s="88">
        <v>4.6</v>
      </c>
      <c r="G145" s="88">
        <v>0.3</v>
      </c>
      <c r="H145" s="202">
        <f>E145*4+F145*9+G145*4</f>
        <v>63</v>
      </c>
      <c r="I145" s="88">
        <v>0.03</v>
      </c>
      <c r="J145" s="88">
        <v>0</v>
      </c>
      <c r="K145" s="201">
        <v>0</v>
      </c>
      <c r="L145" s="88">
        <v>0.1</v>
      </c>
      <c r="M145" s="88">
        <v>0</v>
      </c>
      <c r="N145" s="88">
        <v>22</v>
      </c>
      <c r="O145" s="88">
        <v>76.8</v>
      </c>
      <c r="P145" s="88">
        <v>0</v>
      </c>
      <c r="Q145" s="88">
        <v>0</v>
      </c>
      <c r="R145" s="88">
        <v>4.8</v>
      </c>
      <c r="S145" s="88">
        <v>1</v>
      </c>
      <c r="T145" s="12"/>
      <c r="U145" s="19"/>
      <c r="V145" s="19"/>
      <c r="W145" s="19"/>
    </row>
    <row r="146" spans="1:23" s="3" customFormat="1" ht="11.25" customHeight="1">
      <c r="A146" s="79">
        <v>173</v>
      </c>
      <c r="B146" s="148" t="s">
        <v>90</v>
      </c>
      <c r="C146" s="149"/>
      <c r="D146" s="71">
        <v>20</v>
      </c>
      <c r="E146" s="73">
        <f>2.32*D146/10</f>
        <v>4.64</v>
      </c>
      <c r="F146" s="73">
        <f>3.4*D146/10</f>
        <v>6.8</v>
      </c>
      <c r="G146" s="73">
        <f>0.01*D146/10</f>
        <v>0.02</v>
      </c>
      <c r="H146" s="73">
        <f>E146*4+F146*9+G146*4</f>
        <v>79.83999999999999</v>
      </c>
      <c r="I146" s="73">
        <f>0.004*D146/10</f>
        <v>0.008</v>
      </c>
      <c r="J146" s="73">
        <f>0.03*D146/10</f>
        <v>0.06</v>
      </c>
      <c r="K146" s="73">
        <f>0.07*D146/10</f>
        <v>0.14</v>
      </c>
      <c r="L146" s="74">
        <f>0.023*D146/10</f>
        <v>0.046</v>
      </c>
      <c r="M146" s="73">
        <f>0.05*D146/10</f>
        <v>0.1</v>
      </c>
      <c r="N146" s="73">
        <f>88*D146/10</f>
        <v>176</v>
      </c>
      <c r="O146" s="73">
        <f>50*D146/10</f>
        <v>100</v>
      </c>
      <c r="P146" s="73">
        <f>0.4*D146/10</f>
        <v>0.8</v>
      </c>
      <c r="Q146" s="74">
        <f>0.02*D146/10</f>
        <v>0.04</v>
      </c>
      <c r="R146" s="73">
        <f>3.5*D146/10</f>
        <v>7</v>
      </c>
      <c r="S146" s="73">
        <f>0.13*D146/10</f>
        <v>0.26</v>
      </c>
      <c r="T146" s="14"/>
      <c r="U146" s="20"/>
      <c r="V146" s="20"/>
      <c r="W146" s="20"/>
    </row>
    <row r="147" spans="1:23" s="3" customFormat="1" ht="11.25" customHeight="1">
      <c r="A147" s="119">
        <v>338</v>
      </c>
      <c r="B147" s="148" t="s">
        <v>115</v>
      </c>
      <c r="C147" s="149"/>
      <c r="D147" s="71">
        <v>200</v>
      </c>
      <c r="E147" s="73">
        <v>7.3</v>
      </c>
      <c r="F147" s="70">
        <v>12.5</v>
      </c>
      <c r="G147" s="70">
        <v>54.3</v>
      </c>
      <c r="H147" s="70">
        <f>E147*4+F147*9+G147*4</f>
        <v>358.9</v>
      </c>
      <c r="I147" s="73">
        <v>0.14</v>
      </c>
      <c r="J147" s="73">
        <v>0.18</v>
      </c>
      <c r="K147" s="73">
        <v>3.35</v>
      </c>
      <c r="L147" s="74">
        <v>0.037</v>
      </c>
      <c r="M147" s="73">
        <v>1.3</v>
      </c>
      <c r="N147" s="70">
        <v>147.6</v>
      </c>
      <c r="O147" s="70">
        <v>198.6</v>
      </c>
      <c r="P147" s="71">
        <v>0</v>
      </c>
      <c r="Q147" s="70">
        <v>0</v>
      </c>
      <c r="R147" s="70">
        <v>57.8</v>
      </c>
      <c r="S147" s="73">
        <v>1.3</v>
      </c>
      <c r="T147" s="15"/>
      <c r="U147" s="21"/>
      <c r="V147" s="21"/>
      <c r="W147" s="21"/>
    </row>
    <row r="148" spans="1:23" s="3" customFormat="1" ht="21.75" customHeight="1">
      <c r="A148" s="129">
        <v>379</v>
      </c>
      <c r="B148" s="147" t="s">
        <v>74</v>
      </c>
      <c r="C148" s="147"/>
      <c r="D148" s="71">
        <v>100</v>
      </c>
      <c r="E148" s="73">
        <v>0.4</v>
      </c>
      <c r="F148" s="69">
        <v>0.4</v>
      </c>
      <c r="G148" s="70">
        <v>9.8</v>
      </c>
      <c r="H148" s="70">
        <f>E148*4+F148*9+G148*4</f>
        <v>44.400000000000006</v>
      </c>
      <c r="I148" s="73">
        <v>0.04</v>
      </c>
      <c r="J148" s="73">
        <v>0.02</v>
      </c>
      <c r="K148" s="71">
        <v>10</v>
      </c>
      <c r="L148" s="71">
        <v>0.02</v>
      </c>
      <c r="M148" s="73">
        <v>0.2</v>
      </c>
      <c r="N148" s="73">
        <v>16</v>
      </c>
      <c r="O148" s="73">
        <v>11</v>
      </c>
      <c r="P148" s="71">
        <v>0.03</v>
      </c>
      <c r="Q148" s="71">
        <v>0.002</v>
      </c>
      <c r="R148" s="73">
        <v>9</v>
      </c>
      <c r="S148" s="73">
        <v>2.2</v>
      </c>
      <c r="T148" s="9"/>
      <c r="U148" s="20"/>
      <c r="V148" s="20"/>
      <c r="W148" s="20"/>
    </row>
    <row r="149" spans="1:23" s="3" customFormat="1" ht="21" customHeight="1">
      <c r="A149" s="79" t="s">
        <v>81</v>
      </c>
      <c r="B149" s="148" t="s">
        <v>56</v>
      </c>
      <c r="C149" s="149"/>
      <c r="D149" s="71">
        <v>200</v>
      </c>
      <c r="E149" s="73">
        <v>3.17</v>
      </c>
      <c r="F149" s="73">
        <v>2.68</v>
      </c>
      <c r="G149" s="73">
        <v>15.95</v>
      </c>
      <c r="H149" s="73">
        <f>E149*4+F149*9+G149*4</f>
        <v>100.6</v>
      </c>
      <c r="I149" s="73">
        <v>0.04</v>
      </c>
      <c r="J149" s="73">
        <v>0.15</v>
      </c>
      <c r="K149" s="73">
        <v>1.3</v>
      </c>
      <c r="L149" s="74">
        <v>0.03</v>
      </c>
      <c r="M149" s="69">
        <v>0.06</v>
      </c>
      <c r="N149" s="73">
        <v>120.4</v>
      </c>
      <c r="O149" s="70">
        <v>90</v>
      </c>
      <c r="P149" s="73">
        <v>1.1</v>
      </c>
      <c r="Q149" s="74">
        <v>0.01</v>
      </c>
      <c r="R149" s="73">
        <v>14</v>
      </c>
      <c r="S149" s="73">
        <v>0.12</v>
      </c>
      <c r="T149" s="9"/>
      <c r="U149" s="20"/>
      <c r="V149" s="20"/>
      <c r="W149" s="20"/>
    </row>
    <row r="150" spans="1:23" s="3" customFormat="1" ht="11.25" customHeight="1">
      <c r="A150" s="62" t="s">
        <v>27</v>
      </c>
      <c r="B150" s="148" t="s">
        <v>111</v>
      </c>
      <c r="C150" s="149"/>
      <c r="D150" s="71">
        <v>40</v>
      </c>
      <c r="E150" s="73">
        <f>1.52*D150/30</f>
        <v>2.0266666666666664</v>
      </c>
      <c r="F150" s="74">
        <f>0.16*D150/30</f>
        <v>0.21333333333333335</v>
      </c>
      <c r="G150" s="74">
        <f>9.84*D150/30</f>
        <v>13.120000000000001</v>
      </c>
      <c r="H150" s="74">
        <f>E150*4+F150*9+G150*4</f>
        <v>62.50666666666667</v>
      </c>
      <c r="I150" s="74">
        <f>0.02*D150/30</f>
        <v>0.02666666666666667</v>
      </c>
      <c r="J150" s="74">
        <f>0.01*D150/30</f>
        <v>0.013333333333333334</v>
      </c>
      <c r="K150" s="74">
        <f>0.44*D150/30</f>
        <v>0.5866666666666667</v>
      </c>
      <c r="L150" s="74">
        <v>0</v>
      </c>
      <c r="M150" s="74">
        <f>0.7*D150/30</f>
        <v>0.9333333333333333</v>
      </c>
      <c r="N150" s="74">
        <f>4*D150/30</f>
        <v>5.333333333333333</v>
      </c>
      <c r="O150" s="74">
        <f>13*D150/30</f>
        <v>17.333333333333332</v>
      </c>
      <c r="P150" s="74">
        <f>0.008*D150/30</f>
        <v>0.010666666666666666</v>
      </c>
      <c r="Q150" s="74">
        <f>0.001*D150/30</f>
        <v>0.0013333333333333333</v>
      </c>
      <c r="R150" s="74">
        <v>0</v>
      </c>
      <c r="S150" s="74">
        <f>0.22*D150/30</f>
        <v>0.29333333333333333</v>
      </c>
      <c r="T150" s="10"/>
      <c r="U150" s="20"/>
      <c r="V150" s="20"/>
      <c r="W150" s="20"/>
    </row>
    <row r="151" spans="1:23" s="3" customFormat="1" ht="11.25" customHeight="1">
      <c r="A151" s="136" t="s">
        <v>68</v>
      </c>
      <c r="B151" s="63"/>
      <c r="C151" s="63"/>
      <c r="D151" s="66">
        <f aca="true" t="shared" si="23" ref="D151:S151">SUM(D146:D150)</f>
        <v>560</v>
      </c>
      <c r="E151" s="38">
        <f t="shared" si="23"/>
        <v>17.536666666666665</v>
      </c>
      <c r="F151" s="37">
        <f t="shared" si="23"/>
        <v>22.593333333333334</v>
      </c>
      <c r="G151" s="37">
        <f t="shared" si="23"/>
        <v>93.19000000000001</v>
      </c>
      <c r="H151" s="37">
        <f t="shared" si="23"/>
        <v>646.2466666666667</v>
      </c>
      <c r="I151" s="37">
        <f t="shared" si="23"/>
        <v>0.2546666666666667</v>
      </c>
      <c r="J151" s="37">
        <f t="shared" si="23"/>
        <v>0.42333333333333334</v>
      </c>
      <c r="K151" s="37">
        <f t="shared" si="23"/>
        <v>15.376666666666667</v>
      </c>
      <c r="L151" s="37">
        <f t="shared" si="23"/>
        <v>0.133</v>
      </c>
      <c r="M151" s="39">
        <f t="shared" si="23"/>
        <v>2.5933333333333337</v>
      </c>
      <c r="N151" s="37">
        <f t="shared" si="23"/>
        <v>465.3333333333333</v>
      </c>
      <c r="O151" s="49">
        <f t="shared" si="23"/>
        <v>416.93333333333334</v>
      </c>
      <c r="P151" s="38">
        <f t="shared" si="23"/>
        <v>1.9406666666666668</v>
      </c>
      <c r="Q151" s="39">
        <f t="shared" si="23"/>
        <v>0.05333333333333334</v>
      </c>
      <c r="R151" s="37">
        <f t="shared" si="23"/>
        <v>87.8</v>
      </c>
      <c r="S151" s="38">
        <f t="shared" si="23"/>
        <v>4.173333333333334</v>
      </c>
      <c r="T151" s="11"/>
      <c r="U151" s="20"/>
      <c r="V151" s="20"/>
      <c r="W151" s="20"/>
    </row>
    <row r="152" spans="1:23" s="3" customFormat="1" ht="13.5" customHeight="1">
      <c r="A152" s="133" t="s">
        <v>28</v>
      </c>
      <c r="B152" s="137"/>
      <c r="C152" s="137"/>
      <c r="D152" s="138"/>
      <c r="E152" s="109">
        <f aca="true" t="shared" si="24" ref="E152:S152">E151/E168</f>
        <v>0.22774891774891773</v>
      </c>
      <c r="F152" s="78">
        <f t="shared" si="24"/>
        <v>0.2859915611814346</v>
      </c>
      <c r="G152" s="78">
        <f t="shared" si="24"/>
        <v>0.27817910447761196</v>
      </c>
      <c r="H152" s="78">
        <f t="shared" si="24"/>
        <v>0.2749985815602837</v>
      </c>
      <c r="I152" s="78">
        <f t="shared" si="24"/>
        <v>0.21222222222222226</v>
      </c>
      <c r="J152" s="78">
        <f t="shared" si="24"/>
        <v>0.3023809523809524</v>
      </c>
      <c r="K152" s="78">
        <f t="shared" si="24"/>
        <v>0.25627777777777777</v>
      </c>
      <c r="L152" s="78">
        <f t="shared" si="24"/>
        <v>0.19000000000000003</v>
      </c>
      <c r="M152" s="78">
        <f t="shared" si="24"/>
        <v>0.25933333333333336</v>
      </c>
      <c r="N152" s="78">
        <f t="shared" si="24"/>
        <v>0.42303030303030303</v>
      </c>
      <c r="O152" s="78">
        <f t="shared" si="24"/>
        <v>0.37903030303030305</v>
      </c>
      <c r="P152" s="78">
        <f t="shared" si="24"/>
        <v>0.19406666666666667</v>
      </c>
      <c r="Q152" s="78">
        <f t="shared" si="24"/>
        <v>0.5333333333333333</v>
      </c>
      <c r="R152" s="78">
        <f t="shared" si="24"/>
        <v>0.3512</v>
      </c>
      <c r="S152" s="43">
        <f t="shared" si="24"/>
        <v>0.3477777777777778</v>
      </c>
      <c r="T152" s="11"/>
      <c r="U152" s="24"/>
      <c r="V152" s="24"/>
      <c r="W152" s="24"/>
    </row>
    <row r="153" spans="1:23" s="3" customFormat="1" ht="12.75" customHeight="1">
      <c r="A153" s="79">
        <v>52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5"/>
      <c r="T153" s="75"/>
      <c r="U153" s="76"/>
      <c r="V153" s="76"/>
      <c r="W153" s="76"/>
    </row>
    <row r="154" spans="1:23" s="1" customFormat="1" ht="11.25" customHeight="1">
      <c r="A154" s="129">
        <v>113</v>
      </c>
      <c r="B154" s="148" t="s">
        <v>58</v>
      </c>
      <c r="C154" s="149"/>
      <c r="D154" s="71">
        <v>60</v>
      </c>
      <c r="E154" s="73">
        <v>0.86</v>
      </c>
      <c r="F154" s="73">
        <v>3.05</v>
      </c>
      <c r="G154" s="73">
        <v>5.13</v>
      </c>
      <c r="H154" s="73">
        <f aca="true" t="shared" si="25" ref="H154:H159">E154*4+F154*9+G154*4</f>
        <v>51.41</v>
      </c>
      <c r="I154" s="73">
        <v>0.01</v>
      </c>
      <c r="J154" s="73">
        <v>0.02</v>
      </c>
      <c r="K154" s="70">
        <v>5.7</v>
      </c>
      <c r="L154" s="73">
        <v>0.01</v>
      </c>
      <c r="M154" s="73">
        <v>0.1</v>
      </c>
      <c r="N154" s="73">
        <v>26.61</v>
      </c>
      <c r="O154" s="73">
        <v>25.64</v>
      </c>
      <c r="P154" s="73">
        <v>0.43</v>
      </c>
      <c r="Q154" s="74">
        <v>0.01</v>
      </c>
      <c r="R154" s="70">
        <v>12.87</v>
      </c>
      <c r="S154" s="73">
        <v>0.84</v>
      </c>
      <c r="T154" s="37"/>
      <c r="U154" s="40"/>
      <c r="V154" s="40"/>
      <c r="W154" s="40"/>
    </row>
    <row r="155" spans="1:23" s="1" customFormat="1" ht="11.25" customHeight="1">
      <c r="A155" s="79">
        <v>232</v>
      </c>
      <c r="B155" s="148" t="s">
        <v>116</v>
      </c>
      <c r="C155" s="149"/>
      <c r="D155" s="69" t="s">
        <v>49</v>
      </c>
      <c r="E155" s="73">
        <v>6.9</v>
      </c>
      <c r="F155" s="74">
        <v>6.95</v>
      </c>
      <c r="G155" s="74">
        <v>18.76</v>
      </c>
      <c r="H155" s="74">
        <f t="shared" si="25"/>
        <v>165.19</v>
      </c>
      <c r="I155" s="74">
        <v>0.18</v>
      </c>
      <c r="J155" s="74">
        <v>0.17</v>
      </c>
      <c r="K155" s="74">
        <v>4.22</v>
      </c>
      <c r="L155" s="74">
        <v>0.82</v>
      </c>
      <c r="M155" s="74">
        <v>0.3</v>
      </c>
      <c r="N155" s="74">
        <v>34.7</v>
      </c>
      <c r="O155" s="74">
        <v>75.88</v>
      </c>
      <c r="P155" s="74">
        <v>0.1</v>
      </c>
      <c r="Q155" s="74">
        <v>0.001</v>
      </c>
      <c r="R155" s="74">
        <v>14.51</v>
      </c>
      <c r="S155" s="74">
        <v>0.99</v>
      </c>
      <c r="T155" s="11"/>
      <c r="U155" s="24"/>
      <c r="V155" s="24"/>
      <c r="W155" s="24"/>
    </row>
    <row r="156" spans="1:23" s="3" customFormat="1" ht="21.75" customHeight="1">
      <c r="A156" s="79">
        <v>312</v>
      </c>
      <c r="B156" s="148" t="s">
        <v>83</v>
      </c>
      <c r="C156" s="149"/>
      <c r="D156" s="71">
        <v>90</v>
      </c>
      <c r="E156" s="73">
        <f>17.77*D156/80</f>
        <v>19.99125</v>
      </c>
      <c r="F156" s="73">
        <f>9.32*D156/80</f>
        <v>10.485000000000001</v>
      </c>
      <c r="G156" s="73">
        <f>2.39*D156/80</f>
        <v>2.68875</v>
      </c>
      <c r="H156" s="73">
        <f t="shared" si="25"/>
        <v>185.085</v>
      </c>
      <c r="I156" s="73">
        <f>0.18*D156/80</f>
        <v>0.20249999999999999</v>
      </c>
      <c r="J156" s="73">
        <f>0.15*D156/80</f>
        <v>0.16875</v>
      </c>
      <c r="K156" s="70">
        <f>0.84*D156/80</f>
        <v>0.945</v>
      </c>
      <c r="L156" s="73">
        <f>0.0253*D156/80</f>
        <v>0.0284625</v>
      </c>
      <c r="M156" s="69">
        <f>0.1*D156/80</f>
        <v>0.1125</v>
      </c>
      <c r="N156" s="73">
        <f>33.32*D156/80</f>
        <v>37.485</v>
      </c>
      <c r="O156" s="73">
        <f>100.08*D156/80</f>
        <v>112.59</v>
      </c>
      <c r="P156" s="73">
        <f>0.2196*D156/80</f>
        <v>0.24705</v>
      </c>
      <c r="Q156" s="74">
        <f>0.009*D156/80</f>
        <v>0.010124999999999999</v>
      </c>
      <c r="R156" s="73">
        <f>18.42*D156/80</f>
        <v>20.722500000000004</v>
      </c>
      <c r="S156" s="73">
        <f>0.63*D156/80</f>
        <v>0.70875</v>
      </c>
      <c r="T156" s="75"/>
      <c r="U156" s="76"/>
      <c r="V156" s="76"/>
      <c r="W156" s="76"/>
    </row>
    <row r="157" spans="1:23" s="3" customFormat="1" ht="12.75" customHeight="1">
      <c r="A157" s="79">
        <v>349</v>
      </c>
      <c r="B157" s="148" t="s">
        <v>47</v>
      </c>
      <c r="C157" s="149"/>
      <c r="D157" s="71">
        <v>150</v>
      </c>
      <c r="E157" s="73">
        <f>D157*3.29/150</f>
        <v>3.29</v>
      </c>
      <c r="F157" s="73">
        <f>D157*7.06/150</f>
        <v>7.06</v>
      </c>
      <c r="G157" s="73">
        <f>D157*22.21/150</f>
        <v>22.21</v>
      </c>
      <c r="H157" s="73">
        <f t="shared" si="25"/>
        <v>165.54000000000002</v>
      </c>
      <c r="I157" s="73">
        <f>D157*0.16/150</f>
        <v>0.16</v>
      </c>
      <c r="J157" s="73">
        <f>D157*0.13/150</f>
        <v>0.13</v>
      </c>
      <c r="K157" s="73">
        <f>D157*0.73/150</f>
        <v>0.73</v>
      </c>
      <c r="L157" s="74">
        <f>D157*0.08/150</f>
        <v>0.08</v>
      </c>
      <c r="M157" s="69">
        <f>1.5*D157/150</f>
        <v>1.5</v>
      </c>
      <c r="N157" s="73">
        <f>D157*42.54/150</f>
        <v>42.54</v>
      </c>
      <c r="O157" s="70">
        <f>D157*97.75/150</f>
        <v>97.75</v>
      </c>
      <c r="P157" s="74">
        <f>0.299*D157/150</f>
        <v>0.299</v>
      </c>
      <c r="Q157" s="74">
        <f>0.001*D157/150</f>
        <v>0.001</v>
      </c>
      <c r="R157" s="73">
        <f>D157*33.06/150</f>
        <v>33.06</v>
      </c>
      <c r="S157" s="73">
        <f>D157*1.19/150</f>
        <v>1.19</v>
      </c>
      <c r="T157" s="75"/>
      <c r="U157" s="76"/>
      <c r="V157" s="76"/>
      <c r="W157" s="76"/>
    </row>
    <row r="158" spans="1:23" s="3" customFormat="1" ht="9.75" customHeight="1">
      <c r="A158" s="80" t="s">
        <v>81</v>
      </c>
      <c r="B158" s="148" t="s">
        <v>50</v>
      </c>
      <c r="C158" s="149"/>
      <c r="D158" s="71">
        <v>200</v>
      </c>
      <c r="E158" s="73">
        <v>0.22</v>
      </c>
      <c r="F158" s="69"/>
      <c r="G158" s="73">
        <v>24.42</v>
      </c>
      <c r="H158" s="73">
        <f t="shared" si="25"/>
        <v>98.56</v>
      </c>
      <c r="I158" s="69"/>
      <c r="J158" s="69"/>
      <c r="K158" s="73">
        <v>26.11</v>
      </c>
      <c r="L158" s="69"/>
      <c r="M158" s="69"/>
      <c r="N158" s="70">
        <v>22.6</v>
      </c>
      <c r="O158" s="70">
        <v>7.7</v>
      </c>
      <c r="P158" s="71">
        <v>0</v>
      </c>
      <c r="Q158" s="71">
        <v>0</v>
      </c>
      <c r="R158" s="70">
        <v>3</v>
      </c>
      <c r="S158" s="73">
        <v>0.66</v>
      </c>
      <c r="T158" s="75"/>
      <c r="U158" s="76"/>
      <c r="V158" s="76"/>
      <c r="W158" s="76"/>
    </row>
    <row r="159" spans="1:23" s="3" customFormat="1" ht="11.25" customHeight="1" hidden="1">
      <c r="A159" s="62" t="s">
        <v>29</v>
      </c>
      <c r="B159" s="148" t="s">
        <v>46</v>
      </c>
      <c r="C159" s="149"/>
      <c r="D159" s="71">
        <v>40</v>
      </c>
      <c r="E159" s="73">
        <f>2.64*D159/40</f>
        <v>2.64</v>
      </c>
      <c r="F159" s="73">
        <f>0.48*D159/40</f>
        <v>0.48</v>
      </c>
      <c r="G159" s="73">
        <f>13.68*D159/40</f>
        <v>13.680000000000001</v>
      </c>
      <c r="H159" s="70">
        <f t="shared" si="25"/>
        <v>69.60000000000001</v>
      </c>
      <c r="I159" s="69">
        <f>0.08*D159/40</f>
        <v>0.08</v>
      </c>
      <c r="J159" s="73">
        <f>0.04*D159/40</f>
        <v>0.04</v>
      </c>
      <c r="K159" s="71">
        <v>0</v>
      </c>
      <c r="L159" s="71">
        <v>0</v>
      </c>
      <c r="M159" s="73">
        <f>2.4*D159/40</f>
        <v>2.4</v>
      </c>
      <c r="N159" s="73">
        <f>14*D159/40</f>
        <v>14</v>
      </c>
      <c r="O159" s="73">
        <f>63.2*D159/40</f>
        <v>63.2</v>
      </c>
      <c r="P159" s="73">
        <f>1.2*D159/40</f>
        <v>1.2</v>
      </c>
      <c r="Q159" s="74">
        <f>0.001*D159/40</f>
        <v>0.001</v>
      </c>
      <c r="R159" s="73">
        <f>9.4*D159/40</f>
        <v>9.4</v>
      </c>
      <c r="S159" s="69">
        <f>0.78*D159/40</f>
        <v>0.78</v>
      </c>
      <c r="T159" s="75"/>
      <c r="U159" s="76"/>
      <c r="V159" s="76"/>
      <c r="W159" s="76"/>
    </row>
    <row r="160" spans="1:23" s="3" customFormat="1" ht="11.25" customHeight="1" hidden="1">
      <c r="A160" s="136" t="s">
        <v>68</v>
      </c>
      <c r="B160" s="63"/>
      <c r="C160" s="63"/>
      <c r="D160" s="61">
        <v>810</v>
      </c>
      <c r="E160" s="38">
        <f>SUM(E154:E159)</f>
        <v>33.90125</v>
      </c>
      <c r="F160" s="37">
        <f>SUM(F154:F159)</f>
        <v>28.025</v>
      </c>
      <c r="G160" s="37">
        <f>SUM(G154:G159)</f>
        <v>86.88875000000002</v>
      </c>
      <c r="H160" s="37">
        <f>SUM(H154:H159)</f>
        <v>735.3850000000001</v>
      </c>
      <c r="I160" s="38">
        <f aca="true" t="shared" si="26" ref="I160:S160">SUM(I154:I159)</f>
        <v>0.6325</v>
      </c>
      <c r="J160" s="38">
        <f t="shared" si="26"/>
        <v>0.52875</v>
      </c>
      <c r="K160" s="37">
        <f t="shared" si="26"/>
        <v>37.705</v>
      </c>
      <c r="L160" s="38">
        <f t="shared" si="26"/>
        <v>0.9384624999999999</v>
      </c>
      <c r="M160" s="39">
        <f t="shared" si="26"/>
        <v>4.4125</v>
      </c>
      <c r="N160" s="38">
        <f t="shared" si="26"/>
        <v>177.935</v>
      </c>
      <c r="O160" s="37">
        <f t="shared" si="26"/>
        <v>382.76</v>
      </c>
      <c r="P160" s="37">
        <f t="shared" si="26"/>
        <v>2.2760499999999997</v>
      </c>
      <c r="Q160" s="38">
        <f t="shared" si="26"/>
        <v>0.023125</v>
      </c>
      <c r="R160" s="37">
        <f t="shared" si="26"/>
        <v>93.56250000000001</v>
      </c>
      <c r="S160" s="38">
        <f t="shared" si="26"/>
        <v>5.16875</v>
      </c>
      <c r="T160" s="75"/>
      <c r="U160" s="76"/>
      <c r="V160" s="76"/>
      <c r="W160" s="76"/>
    </row>
    <row r="161" spans="1:23" s="3" customFormat="1" ht="11.25" customHeight="1" hidden="1">
      <c r="A161" s="133"/>
      <c r="B161" s="137"/>
      <c r="C161" s="137"/>
      <c r="D161" s="138"/>
      <c r="E161" s="109">
        <f aca="true" t="shared" si="27" ref="E161:S161">E160/E168</f>
        <v>0.440275974025974</v>
      </c>
      <c r="F161" s="78">
        <f t="shared" si="27"/>
        <v>0.354746835443038</v>
      </c>
      <c r="G161" s="78">
        <f t="shared" si="27"/>
        <v>0.25936940298507466</v>
      </c>
      <c r="H161" s="78">
        <f t="shared" si="27"/>
        <v>0.3129297872340426</v>
      </c>
      <c r="I161" s="78">
        <f t="shared" si="27"/>
        <v>0.5270833333333333</v>
      </c>
      <c r="J161" s="78">
        <f t="shared" si="27"/>
        <v>0.3776785714285715</v>
      </c>
      <c r="K161" s="78">
        <f t="shared" si="27"/>
        <v>0.6284166666666666</v>
      </c>
      <c r="L161" s="78">
        <f t="shared" si="27"/>
        <v>1.340660714285714</v>
      </c>
      <c r="M161" s="78">
        <f t="shared" si="27"/>
        <v>0.44125</v>
      </c>
      <c r="N161" s="78">
        <f t="shared" si="27"/>
        <v>0.1617590909090909</v>
      </c>
      <c r="O161" s="78">
        <f t="shared" si="27"/>
        <v>0.34796363636363636</v>
      </c>
      <c r="P161" s="78">
        <f t="shared" si="27"/>
        <v>0.22760499999999997</v>
      </c>
      <c r="Q161" s="78">
        <f t="shared" si="27"/>
        <v>0.23124999999999998</v>
      </c>
      <c r="R161" s="78">
        <f t="shared" si="27"/>
        <v>0.3742500000000001</v>
      </c>
      <c r="S161" s="43">
        <f t="shared" si="27"/>
        <v>0.43072916666666666</v>
      </c>
      <c r="T161" s="30"/>
      <c r="U161" s="31"/>
      <c r="V161" s="31"/>
      <c r="W161" s="31"/>
    </row>
    <row r="162" spans="1:23" s="3" customFormat="1" ht="11.25" customHeight="1" hidden="1">
      <c r="A162" s="11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5"/>
      <c r="T162" s="75"/>
      <c r="U162" s="76"/>
      <c r="V162" s="76"/>
      <c r="W162" s="76"/>
    </row>
    <row r="163" spans="1:23" s="3" customFormat="1" ht="11.25" customHeight="1">
      <c r="A163" s="114"/>
      <c r="B163" s="148"/>
      <c r="C163" s="149"/>
      <c r="D163" s="71"/>
      <c r="E163" s="73"/>
      <c r="F163" s="70"/>
      <c r="G163" s="70"/>
      <c r="H163" s="73"/>
      <c r="I163" s="73"/>
      <c r="J163" s="73"/>
      <c r="K163" s="73"/>
      <c r="L163" s="69"/>
      <c r="M163" s="70"/>
      <c r="N163" s="73"/>
      <c r="O163" s="73"/>
      <c r="P163" s="73"/>
      <c r="Q163" s="74"/>
      <c r="R163" s="73"/>
      <c r="S163" s="73"/>
      <c r="T163" s="37"/>
      <c r="U163" s="40"/>
      <c r="V163" s="40"/>
      <c r="W163" s="40"/>
    </row>
    <row r="164" spans="1:23" s="3" customFormat="1" ht="11.25" customHeight="1">
      <c r="A164" s="62"/>
      <c r="B164" s="148"/>
      <c r="C164" s="149"/>
      <c r="D164" s="71"/>
      <c r="E164" s="73"/>
      <c r="F164" s="69"/>
      <c r="G164" s="73"/>
      <c r="H164" s="73"/>
      <c r="I164" s="73"/>
      <c r="J164" s="73"/>
      <c r="K164" s="73"/>
      <c r="L164" s="70"/>
      <c r="M164" s="73"/>
      <c r="N164" s="73"/>
      <c r="O164" s="73"/>
      <c r="P164" s="73"/>
      <c r="Q164" s="74"/>
      <c r="R164" s="73"/>
      <c r="S164" s="73"/>
      <c r="T164" s="48"/>
      <c r="U164" s="40"/>
      <c r="V164" s="40"/>
      <c r="W164" s="40"/>
    </row>
    <row r="165" spans="1:23" s="3" customFormat="1" ht="11.25" customHeight="1">
      <c r="A165" s="136"/>
      <c r="B165" s="63"/>
      <c r="C165" s="63"/>
      <c r="D165" s="66"/>
      <c r="E165" s="38"/>
      <c r="F165" s="37"/>
      <c r="G165" s="37"/>
      <c r="H165" s="37"/>
      <c r="I165" s="38"/>
      <c r="J165" s="38"/>
      <c r="K165" s="38"/>
      <c r="L165" s="38"/>
      <c r="M165" s="39"/>
      <c r="N165" s="38"/>
      <c r="O165" s="38"/>
      <c r="P165" s="38"/>
      <c r="Q165" s="38"/>
      <c r="R165" s="38"/>
      <c r="S165" s="38"/>
      <c r="T165" s="11"/>
      <c r="U165" s="24"/>
      <c r="V165" s="24"/>
      <c r="W165" s="24"/>
    </row>
    <row r="166" spans="1:23" s="72" customFormat="1" ht="11.25" customHeight="1">
      <c r="A166" s="139" t="s">
        <v>67</v>
      </c>
      <c r="B166" s="137"/>
      <c r="C166" s="137"/>
      <c r="D166" s="138"/>
      <c r="E166" s="38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11"/>
      <c r="U166" s="24"/>
      <c r="V166" s="24"/>
      <c r="W166" s="24"/>
    </row>
    <row r="167" spans="1:23" s="3" customFormat="1" ht="11.25" customHeight="1">
      <c r="A167" s="139" t="s">
        <v>69</v>
      </c>
      <c r="B167" s="140"/>
      <c r="C167" s="140"/>
      <c r="D167" s="141"/>
      <c r="E167" s="38">
        <f aca="true" t="shared" si="28" ref="E167:S167">SUM(E151,E160,E165)</f>
        <v>51.437916666666666</v>
      </c>
      <c r="F167" s="37">
        <f t="shared" si="28"/>
        <v>50.61833333333333</v>
      </c>
      <c r="G167" s="37">
        <f t="shared" si="28"/>
        <v>180.07875</v>
      </c>
      <c r="H167" s="37">
        <f t="shared" si="28"/>
        <v>1381.6316666666667</v>
      </c>
      <c r="I167" s="38">
        <f t="shared" si="28"/>
        <v>0.8871666666666667</v>
      </c>
      <c r="J167" s="38">
        <f t="shared" si="28"/>
        <v>0.9520833333333334</v>
      </c>
      <c r="K167" s="37">
        <f t="shared" si="28"/>
        <v>53.08166666666666</v>
      </c>
      <c r="L167" s="38">
        <f t="shared" si="28"/>
        <v>1.0714625</v>
      </c>
      <c r="M167" s="38">
        <f t="shared" si="28"/>
        <v>7.005833333333333</v>
      </c>
      <c r="N167" s="37">
        <f t="shared" si="28"/>
        <v>643.2683333333333</v>
      </c>
      <c r="O167" s="37">
        <f t="shared" si="28"/>
        <v>799.6933333333334</v>
      </c>
      <c r="P167" s="38">
        <f t="shared" si="28"/>
        <v>4.216716666666667</v>
      </c>
      <c r="Q167" s="39">
        <f t="shared" si="28"/>
        <v>0.07645833333333334</v>
      </c>
      <c r="R167" s="38">
        <f t="shared" si="28"/>
        <v>181.3625</v>
      </c>
      <c r="S167" s="38">
        <f t="shared" si="28"/>
        <v>9.342083333333335</v>
      </c>
      <c r="T167" s="75"/>
      <c r="U167" s="177"/>
      <c r="V167" s="177"/>
      <c r="W167" s="177"/>
    </row>
    <row r="168" spans="1:23" s="72" customFormat="1" ht="24" customHeight="1">
      <c r="A168" s="136" t="s">
        <v>68</v>
      </c>
      <c r="B168" s="140"/>
      <c r="C168" s="140"/>
      <c r="D168" s="141"/>
      <c r="E168" s="73">
        <v>77</v>
      </c>
      <c r="F168" s="70">
        <v>79</v>
      </c>
      <c r="G168" s="70">
        <v>335</v>
      </c>
      <c r="H168" s="70">
        <v>2350</v>
      </c>
      <c r="I168" s="73">
        <v>1.2</v>
      </c>
      <c r="J168" s="73">
        <v>1.4</v>
      </c>
      <c r="K168" s="71">
        <v>60</v>
      </c>
      <c r="L168" s="73">
        <v>0.7</v>
      </c>
      <c r="M168" s="71">
        <v>10</v>
      </c>
      <c r="N168" s="71">
        <v>1100</v>
      </c>
      <c r="O168" s="71">
        <v>1100</v>
      </c>
      <c r="P168" s="71">
        <v>10</v>
      </c>
      <c r="Q168" s="70">
        <v>0.1</v>
      </c>
      <c r="R168" s="71">
        <v>250</v>
      </c>
      <c r="S168" s="73">
        <v>12</v>
      </c>
      <c r="T168" s="75"/>
      <c r="U168" s="177"/>
      <c r="V168" s="177"/>
      <c r="W168" s="177"/>
    </row>
    <row r="169" spans="1:23" s="1" customFormat="1" ht="11.25" customHeight="1">
      <c r="A169" s="59"/>
      <c r="B169" s="137"/>
      <c r="C169" s="137"/>
      <c r="D169" s="138"/>
      <c r="E169" s="78">
        <f aca="true" t="shared" si="29" ref="E169:S169">E167/E168</f>
        <v>0.6680248917748918</v>
      </c>
      <c r="F169" s="43">
        <f t="shared" si="29"/>
        <v>0.6407383966244725</v>
      </c>
      <c r="G169" s="43">
        <f t="shared" si="29"/>
        <v>0.5375485074626866</v>
      </c>
      <c r="H169" s="43">
        <f t="shared" si="29"/>
        <v>0.5879283687943262</v>
      </c>
      <c r="I169" s="43">
        <f t="shared" si="29"/>
        <v>0.7393055555555555</v>
      </c>
      <c r="J169" s="43">
        <f t="shared" si="29"/>
        <v>0.680059523809524</v>
      </c>
      <c r="K169" s="43">
        <f t="shared" si="29"/>
        <v>0.8846944444444443</v>
      </c>
      <c r="L169" s="44">
        <f t="shared" si="29"/>
        <v>1.5306607142857143</v>
      </c>
      <c r="M169" s="43">
        <f t="shared" si="29"/>
        <v>0.7005833333333333</v>
      </c>
      <c r="N169" s="43">
        <f t="shared" si="29"/>
        <v>0.5847893939393939</v>
      </c>
      <c r="O169" s="43">
        <f t="shared" si="29"/>
        <v>0.7269939393939394</v>
      </c>
      <c r="P169" s="43">
        <f t="shared" si="29"/>
        <v>0.42167166666666667</v>
      </c>
      <c r="Q169" s="44">
        <f t="shared" si="29"/>
        <v>0.7645833333333333</v>
      </c>
      <c r="R169" s="43">
        <f t="shared" si="29"/>
        <v>0.72545</v>
      </c>
      <c r="S169" s="44">
        <f t="shared" si="29"/>
        <v>0.7785069444444446</v>
      </c>
      <c r="T169" s="37"/>
      <c r="U169" s="177"/>
      <c r="V169" s="177"/>
      <c r="W169" s="177"/>
    </row>
    <row r="170" spans="1:23" s="1" customFormat="1" ht="11.25" customHeight="1">
      <c r="A170" s="142" t="s">
        <v>38</v>
      </c>
      <c r="B170" s="56"/>
      <c r="C170" s="56"/>
      <c r="D170" s="72"/>
      <c r="E170" s="35"/>
      <c r="F170" s="72"/>
      <c r="G170" s="72"/>
      <c r="H170" s="72"/>
      <c r="I170" s="72"/>
      <c r="J170" s="72"/>
      <c r="K170" s="72"/>
      <c r="L170" s="174" t="s">
        <v>80</v>
      </c>
      <c r="M170" s="174"/>
      <c r="N170" s="174"/>
      <c r="O170" s="174"/>
      <c r="P170" s="174"/>
      <c r="Q170" s="174"/>
      <c r="R170" s="174"/>
      <c r="S170" s="174"/>
      <c r="T170" s="48"/>
      <c r="U170" s="82"/>
      <c r="V170" s="82"/>
      <c r="W170" s="82"/>
    </row>
    <row r="171" spans="1:23" s="1" customFormat="1" ht="11.25" customHeight="1">
      <c r="A171" s="60" t="s">
        <v>59</v>
      </c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41"/>
      <c r="U171" s="78"/>
      <c r="V171" s="78"/>
      <c r="W171" s="78"/>
    </row>
    <row r="172" spans="1:23" s="1" customFormat="1" ht="11.25" customHeight="1">
      <c r="A172" s="56"/>
      <c r="B172" s="56"/>
      <c r="C172" s="56"/>
      <c r="D172" s="2"/>
      <c r="E172" s="35"/>
      <c r="F172" s="175" t="s">
        <v>1</v>
      </c>
      <c r="G172" s="175"/>
      <c r="H172" s="175"/>
      <c r="I172" s="72"/>
      <c r="J172" s="72"/>
      <c r="K172" s="171" t="s">
        <v>2</v>
      </c>
      <c r="L172" s="171"/>
      <c r="M172" s="168" t="s">
        <v>77</v>
      </c>
      <c r="N172" s="168"/>
      <c r="O172" s="168"/>
      <c r="P172" s="168"/>
      <c r="Q172" s="72"/>
      <c r="R172" s="72"/>
      <c r="S172" s="72"/>
      <c r="T172" s="75"/>
      <c r="U172" s="76"/>
      <c r="V172" s="76"/>
      <c r="W172" s="76"/>
    </row>
    <row r="173" spans="1:23" s="1" customFormat="1" ht="11.25" customHeight="1">
      <c r="A173" s="169" t="s">
        <v>5</v>
      </c>
      <c r="B173" s="56"/>
      <c r="C173" s="56"/>
      <c r="D173" s="189" t="s">
        <v>3</v>
      </c>
      <c r="E173" s="189"/>
      <c r="F173" s="7">
        <v>2</v>
      </c>
      <c r="G173" s="72"/>
      <c r="H173" s="2"/>
      <c r="I173" s="2"/>
      <c r="J173" s="2"/>
      <c r="K173" s="189" t="s">
        <v>4</v>
      </c>
      <c r="L173" s="189"/>
      <c r="M173" s="185" t="s">
        <v>61</v>
      </c>
      <c r="N173" s="185"/>
      <c r="O173" s="185"/>
      <c r="P173" s="185"/>
      <c r="Q173" s="185"/>
      <c r="R173" s="185"/>
      <c r="S173" s="185"/>
      <c r="T173" s="45"/>
      <c r="U173" s="46"/>
      <c r="V173" s="46"/>
      <c r="W173" s="46"/>
    </row>
    <row r="174" spans="1:23" s="1" customFormat="1" ht="11.25" customHeight="1">
      <c r="A174" s="170"/>
      <c r="B174" s="187" t="s">
        <v>6</v>
      </c>
      <c r="C174" s="188"/>
      <c r="D174" s="169" t="s">
        <v>7</v>
      </c>
      <c r="E174" s="165" t="s">
        <v>8</v>
      </c>
      <c r="F174" s="166"/>
      <c r="G174" s="167"/>
      <c r="H174" s="169" t="s">
        <v>9</v>
      </c>
      <c r="I174" s="165" t="s">
        <v>10</v>
      </c>
      <c r="J174" s="166"/>
      <c r="K174" s="166"/>
      <c r="L174" s="166"/>
      <c r="M174" s="167"/>
      <c r="N174" s="165" t="s">
        <v>11</v>
      </c>
      <c r="O174" s="166"/>
      <c r="P174" s="166"/>
      <c r="Q174" s="166"/>
      <c r="R174" s="166"/>
      <c r="S174" s="167"/>
      <c r="T174" s="12"/>
      <c r="U174" s="19"/>
      <c r="V174" s="19"/>
      <c r="W174" s="19"/>
    </row>
    <row r="175" spans="1:23" s="1" customFormat="1" ht="11.25" customHeight="1">
      <c r="A175" s="114">
        <v>1</v>
      </c>
      <c r="B175" s="172"/>
      <c r="C175" s="173"/>
      <c r="D175" s="170"/>
      <c r="E175" s="103" t="s">
        <v>12</v>
      </c>
      <c r="F175" s="117" t="s">
        <v>13</v>
      </c>
      <c r="G175" s="117" t="s">
        <v>14</v>
      </c>
      <c r="H175" s="170"/>
      <c r="I175" s="117" t="s">
        <v>15</v>
      </c>
      <c r="J175" s="117" t="s">
        <v>62</v>
      </c>
      <c r="K175" s="117" t="s">
        <v>16</v>
      </c>
      <c r="L175" s="117" t="s">
        <v>17</v>
      </c>
      <c r="M175" s="117" t="s">
        <v>18</v>
      </c>
      <c r="N175" s="117" t="s">
        <v>19</v>
      </c>
      <c r="O175" s="117" t="s">
        <v>20</v>
      </c>
      <c r="P175" s="117" t="s">
        <v>63</v>
      </c>
      <c r="Q175" s="117" t="s">
        <v>64</v>
      </c>
      <c r="R175" s="117" t="s">
        <v>21</v>
      </c>
      <c r="S175" s="117" t="s">
        <v>22</v>
      </c>
      <c r="T175" s="13"/>
      <c r="U175" s="25"/>
      <c r="V175" s="25"/>
      <c r="W175" s="25"/>
    </row>
    <row r="176" spans="1:23" s="1" customFormat="1" ht="13.5" customHeight="1">
      <c r="A176" s="133" t="s">
        <v>26</v>
      </c>
      <c r="B176" s="157">
        <v>2</v>
      </c>
      <c r="C176" s="158"/>
      <c r="D176" s="36">
        <v>3</v>
      </c>
      <c r="E176" s="104">
        <v>4</v>
      </c>
      <c r="F176" s="36">
        <v>5</v>
      </c>
      <c r="G176" s="36">
        <v>6</v>
      </c>
      <c r="H176" s="36">
        <v>7</v>
      </c>
      <c r="I176" s="36">
        <v>8</v>
      </c>
      <c r="J176" s="36">
        <v>9</v>
      </c>
      <c r="K176" s="36">
        <v>10</v>
      </c>
      <c r="L176" s="36">
        <v>11</v>
      </c>
      <c r="M176" s="36">
        <v>12</v>
      </c>
      <c r="N176" s="36">
        <v>13</v>
      </c>
      <c r="O176" s="36">
        <v>14</v>
      </c>
      <c r="P176" s="36">
        <v>15</v>
      </c>
      <c r="Q176" s="36">
        <v>16</v>
      </c>
      <c r="R176" s="36">
        <v>17</v>
      </c>
      <c r="S176" s="36">
        <v>18</v>
      </c>
      <c r="T176" s="9"/>
      <c r="U176" s="22"/>
      <c r="V176" s="22"/>
      <c r="W176" s="22"/>
    </row>
    <row r="177" spans="1:23" s="1" customFormat="1" ht="11.25" customHeight="1">
      <c r="A177" s="67">
        <v>338</v>
      </c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5"/>
      <c r="T177" s="10"/>
      <c r="U177" s="23"/>
      <c r="V177" s="23"/>
      <c r="W177" s="23"/>
    </row>
    <row r="178" spans="1:23" s="1" customFormat="1" ht="11.25" customHeight="1">
      <c r="A178" s="79">
        <v>15</v>
      </c>
      <c r="B178" s="148" t="s">
        <v>75</v>
      </c>
      <c r="C178" s="149"/>
      <c r="D178" s="71">
        <v>100</v>
      </c>
      <c r="E178" s="73">
        <v>0.9</v>
      </c>
      <c r="F178" s="69">
        <v>0.2</v>
      </c>
      <c r="G178" s="70">
        <v>8.1</v>
      </c>
      <c r="H178" s="73">
        <f>E178*4+F178*9+G178*4</f>
        <v>37.8</v>
      </c>
      <c r="I178" s="73">
        <v>0.04</v>
      </c>
      <c r="J178" s="73">
        <v>0.03</v>
      </c>
      <c r="K178" s="73">
        <v>60</v>
      </c>
      <c r="L178" s="73">
        <v>0.008</v>
      </c>
      <c r="M178" s="69">
        <v>0.2</v>
      </c>
      <c r="N178" s="73">
        <v>34</v>
      </c>
      <c r="O178" s="73">
        <v>23</v>
      </c>
      <c r="P178" s="74">
        <v>0.2</v>
      </c>
      <c r="Q178" s="73">
        <v>0.002</v>
      </c>
      <c r="R178" s="73">
        <v>15</v>
      </c>
      <c r="S178" s="73">
        <v>0.3</v>
      </c>
      <c r="T178" s="11"/>
      <c r="U178" s="24"/>
      <c r="V178" s="24"/>
      <c r="W178" s="24"/>
    </row>
    <row r="179" spans="1:23" s="1" customFormat="1" ht="24" customHeight="1">
      <c r="A179" s="143">
        <v>210</v>
      </c>
      <c r="B179" s="184" t="s">
        <v>130</v>
      </c>
      <c r="C179" s="147"/>
      <c r="D179" s="71">
        <v>200</v>
      </c>
      <c r="E179" s="73">
        <v>6</v>
      </c>
      <c r="F179" s="69">
        <v>6.4</v>
      </c>
      <c r="G179" s="70">
        <v>9.4</v>
      </c>
      <c r="H179" s="73">
        <v>120</v>
      </c>
      <c r="I179" s="73">
        <v>0.06</v>
      </c>
      <c r="J179" s="73">
        <v>0</v>
      </c>
      <c r="K179" s="70">
        <v>12.4</v>
      </c>
      <c r="L179" s="73">
        <v>31</v>
      </c>
      <c r="M179" s="74">
        <v>0</v>
      </c>
      <c r="N179" s="70">
        <v>200</v>
      </c>
      <c r="O179" s="70">
        <v>153</v>
      </c>
      <c r="P179" s="73">
        <v>0</v>
      </c>
      <c r="Q179" s="74">
        <v>0</v>
      </c>
      <c r="R179" s="70">
        <v>25</v>
      </c>
      <c r="S179" s="73">
        <v>0.16</v>
      </c>
      <c r="T179" s="11"/>
      <c r="U179" s="24"/>
      <c r="V179" s="24"/>
      <c r="W179" s="24"/>
    </row>
    <row r="180" spans="1:23" s="1" customFormat="1" ht="11.25" customHeight="1">
      <c r="A180" s="114">
        <v>379</v>
      </c>
      <c r="B180" s="148" t="s">
        <v>124</v>
      </c>
      <c r="C180" s="149"/>
      <c r="D180" s="71">
        <v>200</v>
      </c>
      <c r="E180" s="73">
        <v>16.29</v>
      </c>
      <c r="F180" s="73">
        <v>18.99</v>
      </c>
      <c r="G180" s="73">
        <v>5.04</v>
      </c>
      <c r="H180" s="73">
        <f>E180*4+F180*9+G180*4</f>
        <v>256.23</v>
      </c>
      <c r="I180" s="73">
        <v>0.117</v>
      </c>
      <c r="J180" s="73">
        <v>0.27</v>
      </c>
      <c r="K180" s="73">
        <v>0.324</v>
      </c>
      <c r="L180" s="73">
        <v>0.036</v>
      </c>
      <c r="M180" s="69">
        <v>1.94</v>
      </c>
      <c r="N180" s="73">
        <v>131.38</v>
      </c>
      <c r="O180" s="73">
        <v>248.5</v>
      </c>
      <c r="P180" s="73">
        <v>1.35</v>
      </c>
      <c r="Q180" s="73">
        <v>0.03</v>
      </c>
      <c r="R180" s="73">
        <v>21.55</v>
      </c>
      <c r="S180" s="73">
        <v>1.51</v>
      </c>
      <c r="T180" s="75"/>
      <c r="U180" s="76"/>
      <c r="V180" s="76"/>
      <c r="W180" s="76"/>
    </row>
    <row r="181" spans="1:23" s="3" customFormat="1" ht="33" customHeight="1">
      <c r="A181" s="79" t="s">
        <v>81</v>
      </c>
      <c r="B181" s="148" t="s">
        <v>56</v>
      </c>
      <c r="C181" s="149"/>
      <c r="D181" s="71">
        <v>200</v>
      </c>
      <c r="E181" s="73">
        <v>3.17</v>
      </c>
      <c r="F181" s="73">
        <v>2.68</v>
      </c>
      <c r="G181" s="73">
        <v>15.95</v>
      </c>
      <c r="H181" s="73">
        <f>E181*4+F181*9+G181*4</f>
        <v>100.6</v>
      </c>
      <c r="I181" s="73">
        <v>0.04</v>
      </c>
      <c r="J181" s="73">
        <v>0.15</v>
      </c>
      <c r="K181" s="73">
        <v>1.3</v>
      </c>
      <c r="L181" s="74">
        <v>0.03</v>
      </c>
      <c r="M181" s="69">
        <v>0.06</v>
      </c>
      <c r="N181" s="73">
        <v>120.4</v>
      </c>
      <c r="O181" s="70">
        <v>90</v>
      </c>
      <c r="P181" s="73">
        <v>1.1</v>
      </c>
      <c r="Q181" s="74">
        <v>0.01</v>
      </c>
      <c r="R181" s="73">
        <v>14</v>
      </c>
      <c r="S181" s="73">
        <v>0.12</v>
      </c>
      <c r="T181" s="75"/>
      <c r="U181" s="76"/>
      <c r="V181" s="76"/>
      <c r="W181" s="76"/>
    </row>
    <row r="182" spans="1:23" s="3" customFormat="1" ht="23.25" customHeight="1">
      <c r="A182" s="62" t="s">
        <v>27</v>
      </c>
      <c r="B182" s="148" t="s">
        <v>111</v>
      </c>
      <c r="C182" s="149"/>
      <c r="D182" s="71">
        <v>40</v>
      </c>
      <c r="E182" s="73">
        <f>1.52*D182/30</f>
        <v>2.0266666666666664</v>
      </c>
      <c r="F182" s="74">
        <f>0.16*D182/30</f>
        <v>0.21333333333333335</v>
      </c>
      <c r="G182" s="74">
        <f>9.84*D182/30</f>
        <v>13.120000000000001</v>
      </c>
      <c r="H182" s="74">
        <f>E182*4+F182*9+G182*4</f>
        <v>62.50666666666667</v>
      </c>
      <c r="I182" s="74">
        <f>0.02*D182/30</f>
        <v>0.02666666666666667</v>
      </c>
      <c r="J182" s="74">
        <f>0.01*D182/30</f>
        <v>0.013333333333333334</v>
      </c>
      <c r="K182" s="74">
        <f>0.44*D182/30</f>
        <v>0.5866666666666667</v>
      </c>
      <c r="L182" s="74">
        <v>0</v>
      </c>
      <c r="M182" s="74">
        <f>0.7*D182/30</f>
        <v>0.9333333333333333</v>
      </c>
      <c r="N182" s="74">
        <f>4*D182/30</f>
        <v>5.333333333333333</v>
      </c>
      <c r="O182" s="74">
        <f>13*D182/30</f>
        <v>17.333333333333332</v>
      </c>
      <c r="P182" s="74">
        <f>0.008*D182/30</f>
        <v>0.010666666666666666</v>
      </c>
      <c r="Q182" s="74">
        <f>0.001*D182/30</f>
        <v>0.0013333333333333333</v>
      </c>
      <c r="R182" s="74">
        <v>0</v>
      </c>
      <c r="S182" s="74">
        <f>0.22*D182/30</f>
        <v>0.29333333333333333</v>
      </c>
      <c r="T182" s="75"/>
      <c r="U182" s="76"/>
      <c r="V182" s="76"/>
      <c r="W182" s="76"/>
    </row>
    <row r="183" spans="1:23" s="3" customFormat="1" ht="11.25" customHeight="1">
      <c r="A183" s="136" t="s">
        <v>68</v>
      </c>
      <c r="B183" s="63"/>
      <c r="C183" s="63"/>
      <c r="D183" s="66">
        <f>SUM(D178:D182)</f>
        <v>740</v>
      </c>
      <c r="E183" s="38">
        <f>SUM(E178:E182)</f>
        <v>28.386666666666667</v>
      </c>
      <c r="F183" s="37">
        <f>SUM(F178:F182)</f>
        <v>28.483333333333334</v>
      </c>
      <c r="G183" s="37">
        <f>SUM(G178:G182)</f>
        <v>51.61</v>
      </c>
      <c r="H183" s="37">
        <f>SUM(H178:H182)</f>
        <v>577.1366666666667</v>
      </c>
      <c r="I183" s="38">
        <f>SUM(I178:I182)</f>
        <v>0.2836666666666667</v>
      </c>
      <c r="J183" s="38">
        <f>SUM(J178:J182)</f>
        <v>0.4633333333333334</v>
      </c>
      <c r="K183" s="38">
        <f>SUM(K178:K182)</f>
        <v>74.61066666666667</v>
      </c>
      <c r="L183" s="38">
        <f>SUM(L178:L182)</f>
        <v>31.074</v>
      </c>
      <c r="M183" s="38">
        <f>SUM(M178:M182)</f>
        <v>3.1333333333333337</v>
      </c>
      <c r="N183" s="38">
        <f>SUM(N178:N182)</f>
        <v>491.1133333333333</v>
      </c>
      <c r="O183" s="38">
        <f>SUM(O178:O182)</f>
        <v>531.8333333333334</v>
      </c>
      <c r="P183" s="38">
        <f>SUM(P178:P182)</f>
        <v>2.660666666666667</v>
      </c>
      <c r="Q183" s="39">
        <f>SUM(Q178:Q182)</f>
        <v>0.043333333333333335</v>
      </c>
      <c r="R183" s="38">
        <f>SUM(R178:R182)</f>
        <v>75.55</v>
      </c>
      <c r="S183" s="38">
        <f>SUM(S178:S182)</f>
        <v>2.3833333333333333</v>
      </c>
      <c r="T183" s="75"/>
      <c r="U183" s="76"/>
      <c r="V183" s="76"/>
      <c r="W183" s="76"/>
    </row>
    <row r="184" spans="1:23" s="3" customFormat="1" ht="11.25" customHeight="1">
      <c r="A184" s="133" t="s">
        <v>28</v>
      </c>
      <c r="B184" s="137"/>
      <c r="C184" s="137"/>
      <c r="D184" s="138"/>
      <c r="E184" s="109">
        <f aca="true" t="shared" si="30" ref="E184:S184">E183/E202</f>
        <v>0.3686580086580087</v>
      </c>
      <c r="F184" s="43">
        <f t="shared" si="30"/>
        <v>0.36054852320675107</v>
      </c>
      <c r="G184" s="43">
        <f t="shared" si="30"/>
        <v>0.1540597014925373</v>
      </c>
      <c r="H184" s="43">
        <f t="shared" si="30"/>
        <v>0.24559007092198581</v>
      </c>
      <c r="I184" s="43">
        <f t="shared" si="30"/>
        <v>0.2363888888888889</v>
      </c>
      <c r="J184" s="43">
        <f t="shared" si="30"/>
        <v>0.330952380952381</v>
      </c>
      <c r="K184" s="43">
        <f t="shared" si="30"/>
        <v>1.2435111111111112</v>
      </c>
      <c r="L184" s="43">
        <f t="shared" si="30"/>
        <v>44.39142857142858</v>
      </c>
      <c r="M184" s="43">
        <f t="shared" si="30"/>
        <v>0.31333333333333335</v>
      </c>
      <c r="N184" s="43">
        <f t="shared" si="30"/>
        <v>0.4464666666666666</v>
      </c>
      <c r="O184" s="43">
        <f t="shared" si="30"/>
        <v>0.4834848484848485</v>
      </c>
      <c r="P184" s="43">
        <f t="shared" si="30"/>
        <v>0.26606666666666673</v>
      </c>
      <c r="Q184" s="43">
        <f t="shared" si="30"/>
        <v>0.43333333333333335</v>
      </c>
      <c r="R184" s="43">
        <f t="shared" si="30"/>
        <v>0.30219999999999997</v>
      </c>
      <c r="S184" s="43">
        <f t="shared" si="30"/>
        <v>0.1986111111111111</v>
      </c>
      <c r="T184" s="48"/>
      <c r="U184" s="40"/>
      <c r="V184" s="40"/>
      <c r="W184" s="40"/>
    </row>
    <row r="185" spans="1:23" s="72" customFormat="1" ht="11.25" customHeight="1">
      <c r="A185" s="89" t="s">
        <v>102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5"/>
      <c r="T185" s="16"/>
      <c r="U185" s="26"/>
      <c r="V185" s="26"/>
      <c r="W185" s="26"/>
    </row>
    <row r="186" spans="1:23" s="72" customFormat="1" ht="20.25" customHeight="1">
      <c r="A186" s="114">
        <v>24</v>
      </c>
      <c r="B186" s="198" t="s">
        <v>101</v>
      </c>
      <c r="C186" s="198"/>
      <c r="D186" s="89">
        <v>60</v>
      </c>
      <c r="E186" s="92">
        <f>0.77*D186/60</f>
        <v>0.77</v>
      </c>
      <c r="F186" s="89">
        <f>2.04*D186/60</f>
        <v>2.04</v>
      </c>
      <c r="G186" s="89">
        <f>2.26*D186/60</f>
        <v>2.26</v>
      </c>
      <c r="H186" s="93">
        <f>E186*4+F186*9+G186*4</f>
        <v>30.479999999999997</v>
      </c>
      <c r="I186" s="89">
        <f>0.02*D186/60</f>
        <v>0.02</v>
      </c>
      <c r="J186" s="89">
        <f>0.02*D186/60</f>
        <v>0.02</v>
      </c>
      <c r="K186" s="89">
        <f>19.95*D186/60</f>
        <v>19.95</v>
      </c>
      <c r="L186" s="89">
        <f>0.01*D186/60</f>
        <v>0.01</v>
      </c>
      <c r="M186" s="91">
        <f>0.0787*D186/60</f>
        <v>0.0787</v>
      </c>
      <c r="N186" s="89">
        <f>25.7*D186/60</f>
        <v>25.7</v>
      </c>
      <c r="O186" s="90">
        <f>13.62*D186/60</f>
        <v>13.62</v>
      </c>
      <c r="P186" s="89">
        <f>0.17*D186/60</f>
        <v>0.17</v>
      </c>
      <c r="Q186" s="89">
        <f>0.03*D186/60</f>
        <v>0.029999999999999995</v>
      </c>
      <c r="R186" s="92">
        <f>9*D186/60</f>
        <v>9</v>
      </c>
      <c r="S186" s="89">
        <f>0.28*D186/60</f>
        <v>0.28</v>
      </c>
      <c r="T186" s="75"/>
      <c r="U186" s="76"/>
      <c r="V186" s="76"/>
      <c r="W186" s="76"/>
    </row>
    <row r="187" spans="1:23" s="3" customFormat="1" ht="11.25" customHeight="1">
      <c r="A187" s="114">
        <v>84</v>
      </c>
      <c r="B187" s="181" t="s">
        <v>86</v>
      </c>
      <c r="C187" s="182"/>
      <c r="D187" s="71">
        <v>60</v>
      </c>
      <c r="E187" s="73">
        <v>0.3</v>
      </c>
      <c r="F187" s="73">
        <v>2</v>
      </c>
      <c r="G187" s="73">
        <v>1.6</v>
      </c>
      <c r="H187" s="73">
        <f aca="true" t="shared" si="31" ref="H187:H192">E187*4+F187*9+G187*4</f>
        <v>25.6</v>
      </c>
      <c r="I187" s="73">
        <v>0.06</v>
      </c>
      <c r="J187" s="73">
        <v>0.04</v>
      </c>
      <c r="K187" s="73">
        <v>12.4</v>
      </c>
      <c r="L187" s="71">
        <v>0.001</v>
      </c>
      <c r="M187" s="73">
        <v>1.5</v>
      </c>
      <c r="N187" s="73">
        <v>28.2</v>
      </c>
      <c r="O187" s="73">
        <v>32.3</v>
      </c>
      <c r="P187" s="73">
        <v>0.3</v>
      </c>
      <c r="Q187" s="73">
        <v>0.002</v>
      </c>
      <c r="R187" s="73">
        <v>18.6</v>
      </c>
      <c r="S187" s="73">
        <v>0.5</v>
      </c>
      <c r="T187" s="30"/>
      <c r="U187" s="31"/>
      <c r="V187" s="31"/>
      <c r="W187" s="31"/>
    </row>
    <row r="188" spans="1:23" s="3" customFormat="1" ht="11.25" customHeight="1">
      <c r="A188" s="79">
        <v>60</v>
      </c>
      <c r="B188" s="148" t="s">
        <v>91</v>
      </c>
      <c r="C188" s="149"/>
      <c r="D188" s="69">
        <v>200</v>
      </c>
      <c r="E188" s="73">
        <v>1.77</v>
      </c>
      <c r="F188" s="73">
        <v>2.65</v>
      </c>
      <c r="G188" s="73">
        <v>12.74</v>
      </c>
      <c r="H188" s="73">
        <f t="shared" si="31"/>
        <v>81.89</v>
      </c>
      <c r="I188" s="73">
        <v>0.05</v>
      </c>
      <c r="J188" s="73">
        <v>0.05</v>
      </c>
      <c r="K188" s="73">
        <v>19</v>
      </c>
      <c r="L188" s="73">
        <v>0.74</v>
      </c>
      <c r="M188" s="69">
        <v>0.1</v>
      </c>
      <c r="N188" s="73">
        <v>43.11</v>
      </c>
      <c r="O188" s="73">
        <v>48.75</v>
      </c>
      <c r="P188" s="70">
        <v>1.3</v>
      </c>
      <c r="Q188" s="74">
        <v>0.0032</v>
      </c>
      <c r="R188" s="73">
        <v>22.44</v>
      </c>
      <c r="S188" s="73">
        <v>0.8</v>
      </c>
      <c r="T188" s="75"/>
      <c r="U188" s="76"/>
      <c r="V188" s="76"/>
      <c r="W188" s="76"/>
    </row>
    <row r="189" spans="1:23" s="3" customFormat="1" ht="11.25" customHeight="1">
      <c r="A189" s="114">
        <v>203</v>
      </c>
      <c r="B189" s="148" t="s">
        <v>125</v>
      </c>
      <c r="C189" s="149"/>
      <c r="D189" s="71">
        <v>90</v>
      </c>
      <c r="E189" s="73">
        <f>14.4*D189/100</f>
        <v>12.96</v>
      </c>
      <c r="F189" s="70">
        <f>14.718*D189/100</f>
        <v>13.246199999999998</v>
      </c>
      <c r="G189" s="70">
        <f>6.368*D189/100</f>
        <v>5.7312</v>
      </c>
      <c r="H189" s="73">
        <f t="shared" si="31"/>
        <v>193.98059999999998</v>
      </c>
      <c r="I189" s="69">
        <f>0.238*D189/100</f>
        <v>0.21419999999999997</v>
      </c>
      <c r="J189" s="69">
        <f>1.594*D189/100</f>
        <v>1.4346</v>
      </c>
      <c r="K189" s="70">
        <f>4.516*D189/100</f>
        <v>4.0644</v>
      </c>
      <c r="L189" s="69">
        <f>5.873*D189/100</f>
        <v>5.2857</v>
      </c>
      <c r="M189" s="69">
        <f>1.4*D189/100</f>
        <v>1.2599999999999998</v>
      </c>
      <c r="N189" s="70">
        <f>37.96*D189/100</f>
        <v>34.164</v>
      </c>
      <c r="O189" s="70">
        <f>253.44*D189/100</f>
        <v>228.09599999999998</v>
      </c>
      <c r="P189" s="71">
        <f>3*D189/100</f>
        <v>2.7</v>
      </c>
      <c r="Q189" s="77">
        <f>0.005*D189/100</f>
        <v>0.0045000000000000005</v>
      </c>
      <c r="R189" s="70">
        <f>17.73*D189/100</f>
        <v>15.957</v>
      </c>
      <c r="S189" s="73">
        <f>5.12*D189/100</f>
        <v>4.6080000000000005</v>
      </c>
      <c r="T189" s="37"/>
      <c r="U189" s="40"/>
      <c r="V189" s="40"/>
      <c r="W189" s="40"/>
    </row>
    <row r="190" spans="1:23" s="3" customFormat="1" ht="9" customHeight="1">
      <c r="A190" s="129">
        <v>389</v>
      </c>
      <c r="B190" s="148" t="s">
        <v>92</v>
      </c>
      <c r="C190" s="149"/>
      <c r="D190" s="71">
        <v>150</v>
      </c>
      <c r="E190" s="73">
        <f>5.7*D190/150</f>
        <v>5.7</v>
      </c>
      <c r="F190" s="73">
        <f>3.43*D190/150</f>
        <v>3.43</v>
      </c>
      <c r="G190" s="73">
        <f>36.45*D190/150</f>
        <v>36.45</v>
      </c>
      <c r="H190" s="73">
        <f t="shared" si="31"/>
        <v>199.47000000000003</v>
      </c>
      <c r="I190" s="73">
        <f>0.09*D190/150</f>
        <v>0.09</v>
      </c>
      <c r="J190" s="73">
        <f>0.03*D190/150</f>
        <v>0.03</v>
      </c>
      <c r="K190" s="73">
        <v>0</v>
      </c>
      <c r="L190" s="74">
        <f>0.03*D190/150</f>
        <v>0.03</v>
      </c>
      <c r="M190" s="73">
        <f>1.25*D190/150</f>
        <v>1.25</v>
      </c>
      <c r="N190" s="73">
        <f>13.28*D190/150</f>
        <v>13.28</v>
      </c>
      <c r="O190" s="73">
        <f>46.21*D190/150</f>
        <v>46.21</v>
      </c>
      <c r="P190" s="73">
        <f>0.78*D190/150</f>
        <v>0.78</v>
      </c>
      <c r="Q190" s="74">
        <f>0.0015*D190/150</f>
        <v>0.0015</v>
      </c>
      <c r="R190" s="73">
        <f>8.47*D190/150</f>
        <v>8.47</v>
      </c>
      <c r="S190" s="73">
        <f>0.86*D190/150</f>
        <v>0.86</v>
      </c>
      <c r="T190" s="48"/>
      <c r="U190" s="40"/>
      <c r="V190" s="40"/>
      <c r="W190" s="40"/>
    </row>
    <row r="191" spans="1:23" s="3" customFormat="1" ht="11.25" customHeight="1" hidden="1">
      <c r="A191" s="80" t="s">
        <v>81</v>
      </c>
      <c r="B191" s="148" t="s">
        <v>104</v>
      </c>
      <c r="C191" s="149"/>
      <c r="D191" s="71">
        <v>200</v>
      </c>
      <c r="E191" s="73">
        <v>1</v>
      </c>
      <c r="F191" s="73">
        <v>0.2</v>
      </c>
      <c r="G191" s="73">
        <v>20.2</v>
      </c>
      <c r="H191" s="73">
        <f>E191*4+F191*9+G191*4</f>
        <v>86.6</v>
      </c>
      <c r="I191" s="69">
        <v>0.02</v>
      </c>
      <c r="J191" s="69">
        <v>0.02</v>
      </c>
      <c r="K191" s="70">
        <v>4.8</v>
      </c>
      <c r="L191" s="69">
        <v>0</v>
      </c>
      <c r="M191" s="69">
        <v>0</v>
      </c>
      <c r="N191" s="70">
        <v>14</v>
      </c>
      <c r="O191" s="70">
        <v>18</v>
      </c>
      <c r="P191" s="70">
        <v>0.03</v>
      </c>
      <c r="Q191" s="70">
        <v>0</v>
      </c>
      <c r="R191" s="70">
        <v>8</v>
      </c>
      <c r="S191" s="73">
        <v>0.72</v>
      </c>
      <c r="T191" s="11"/>
      <c r="U191" s="24"/>
      <c r="V191" s="24"/>
      <c r="W191" s="24"/>
    </row>
    <row r="192" spans="1:23" s="72" customFormat="1" ht="11.25" customHeight="1" hidden="1">
      <c r="A192" s="62" t="s">
        <v>29</v>
      </c>
      <c r="B192" s="148" t="s">
        <v>46</v>
      </c>
      <c r="C192" s="149"/>
      <c r="D192" s="71">
        <v>40</v>
      </c>
      <c r="E192" s="73">
        <f>2.64*D192/40</f>
        <v>2.64</v>
      </c>
      <c r="F192" s="73">
        <f>0.48*D192/40</f>
        <v>0.48</v>
      </c>
      <c r="G192" s="73">
        <f>13.68*D192/40</f>
        <v>13.680000000000001</v>
      </c>
      <c r="H192" s="70">
        <f t="shared" si="31"/>
        <v>69.60000000000001</v>
      </c>
      <c r="I192" s="69">
        <f>0.08*D192/40</f>
        <v>0.08</v>
      </c>
      <c r="J192" s="73">
        <f>0.04*D192/40</f>
        <v>0.04</v>
      </c>
      <c r="K192" s="71">
        <v>0</v>
      </c>
      <c r="L192" s="71">
        <v>0</v>
      </c>
      <c r="M192" s="73">
        <f>2.4*D192/40</f>
        <v>2.4</v>
      </c>
      <c r="N192" s="73">
        <f>14*D192/40</f>
        <v>14</v>
      </c>
      <c r="O192" s="73">
        <f>63.2*D192/40</f>
        <v>63.2</v>
      </c>
      <c r="P192" s="73">
        <f>1.2*D192/40</f>
        <v>1.2</v>
      </c>
      <c r="Q192" s="74">
        <f>0.001*D192/40</f>
        <v>0.001</v>
      </c>
      <c r="R192" s="73">
        <f>9.4*D192/40</f>
        <v>9.4</v>
      </c>
      <c r="S192" s="69">
        <f>0.78*D192/40</f>
        <v>0.78</v>
      </c>
      <c r="T192" s="11"/>
      <c r="U192" s="24"/>
      <c r="V192" s="24"/>
      <c r="W192" s="24"/>
    </row>
    <row r="193" spans="1:23" s="3" customFormat="1" ht="12.75" customHeight="1" hidden="1">
      <c r="A193" s="136" t="s">
        <v>68</v>
      </c>
      <c r="B193" s="63"/>
      <c r="C193" s="63"/>
      <c r="D193" s="66">
        <f>SUM(D187:D192)</f>
        <v>740</v>
      </c>
      <c r="E193" s="38">
        <f>SUM(E187:E192)</f>
        <v>24.37</v>
      </c>
      <c r="F193" s="37">
        <f>SUM(F187:F192)</f>
        <v>22.0062</v>
      </c>
      <c r="G193" s="37">
        <f>SUM(G187:G192)</f>
        <v>90.40120000000002</v>
      </c>
      <c r="H193" s="37">
        <f>SUM(H187:H192)</f>
        <v>657.1406000000001</v>
      </c>
      <c r="I193" s="38">
        <f aca="true" t="shared" si="32" ref="I193:S193">SUM(I187:I192)</f>
        <v>0.5142</v>
      </c>
      <c r="J193" s="38">
        <f t="shared" si="32"/>
        <v>1.6146000000000003</v>
      </c>
      <c r="K193" s="37">
        <f t="shared" si="32"/>
        <v>40.264399999999995</v>
      </c>
      <c r="L193" s="38">
        <f t="shared" si="32"/>
        <v>6.0567</v>
      </c>
      <c r="M193" s="42">
        <f t="shared" si="32"/>
        <v>6.51</v>
      </c>
      <c r="N193" s="37">
        <f t="shared" si="32"/>
        <v>146.75400000000002</v>
      </c>
      <c r="O193" s="37">
        <f t="shared" si="32"/>
        <v>436.5559999999999</v>
      </c>
      <c r="P193" s="38">
        <f t="shared" si="32"/>
        <v>6.310000000000001</v>
      </c>
      <c r="Q193" s="38">
        <f t="shared" si="32"/>
        <v>0.012199999999999999</v>
      </c>
      <c r="R193" s="37">
        <f t="shared" si="32"/>
        <v>82.86700000000002</v>
      </c>
      <c r="S193" s="38">
        <f t="shared" si="32"/>
        <v>8.268</v>
      </c>
      <c r="T193" s="75"/>
      <c r="U193" s="76"/>
      <c r="V193" s="76"/>
      <c r="W193" s="76"/>
    </row>
    <row r="194" spans="1:23" s="3" customFormat="1" ht="12.75" customHeight="1" hidden="1">
      <c r="A194" s="133"/>
      <c r="B194" s="137"/>
      <c r="C194" s="137"/>
      <c r="D194" s="138"/>
      <c r="E194" s="109">
        <f aca="true" t="shared" si="33" ref="E194:S194">E193/E202</f>
        <v>0.3164935064935065</v>
      </c>
      <c r="F194" s="43">
        <f t="shared" si="33"/>
        <v>0.27855949367088606</v>
      </c>
      <c r="G194" s="43">
        <f t="shared" si="33"/>
        <v>0.269854328358209</v>
      </c>
      <c r="H194" s="43">
        <f t="shared" si="33"/>
        <v>0.27963429787234045</v>
      </c>
      <c r="I194" s="43">
        <f t="shared" si="33"/>
        <v>0.4285</v>
      </c>
      <c r="J194" s="43">
        <f t="shared" si="33"/>
        <v>1.1532857142857145</v>
      </c>
      <c r="K194" s="43">
        <f t="shared" si="33"/>
        <v>0.6710733333333333</v>
      </c>
      <c r="L194" s="43">
        <f t="shared" si="33"/>
        <v>8.652428571428572</v>
      </c>
      <c r="M194" s="43">
        <f t="shared" si="33"/>
        <v>0.651</v>
      </c>
      <c r="N194" s="43">
        <f t="shared" si="33"/>
        <v>0.1334127272727273</v>
      </c>
      <c r="O194" s="43">
        <f t="shared" si="33"/>
        <v>0.39686909090909084</v>
      </c>
      <c r="P194" s="43">
        <f t="shared" si="33"/>
        <v>0.6310000000000001</v>
      </c>
      <c r="Q194" s="43">
        <f t="shared" si="33"/>
        <v>0.12199999999999998</v>
      </c>
      <c r="R194" s="43">
        <f t="shared" si="33"/>
        <v>0.3314680000000001</v>
      </c>
      <c r="S194" s="43">
        <f t="shared" si="33"/>
        <v>0.6890000000000001</v>
      </c>
      <c r="T194" s="75"/>
      <c r="U194" s="76"/>
      <c r="V194" s="76"/>
      <c r="W194" s="76"/>
    </row>
    <row r="195" spans="1:23" s="1" customFormat="1" ht="11.25" customHeight="1" hidden="1">
      <c r="A195" s="11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5"/>
      <c r="T195" s="37"/>
      <c r="U195" s="40"/>
      <c r="V195" s="40"/>
      <c r="W195" s="40"/>
    </row>
    <row r="196" spans="1:23" s="1" customFormat="1" ht="11.25" customHeight="1">
      <c r="A196" s="114"/>
      <c r="B196" s="150"/>
      <c r="C196" s="151"/>
      <c r="D196" s="71"/>
      <c r="E196" s="73"/>
      <c r="F196" s="73"/>
      <c r="G196" s="73"/>
      <c r="H196" s="73"/>
      <c r="I196" s="74"/>
      <c r="J196" s="73"/>
      <c r="K196" s="73"/>
      <c r="L196" s="74"/>
      <c r="M196" s="69"/>
      <c r="N196" s="70"/>
      <c r="O196" s="73"/>
      <c r="P196" s="73"/>
      <c r="Q196" s="74"/>
      <c r="R196" s="73"/>
      <c r="S196" s="73"/>
      <c r="T196" s="48"/>
      <c r="U196" s="40"/>
      <c r="V196" s="40"/>
      <c r="W196" s="40"/>
    </row>
    <row r="197" spans="1:23" s="1" customFormat="1" ht="11.25" customHeight="1">
      <c r="A197" s="114"/>
      <c r="B197" s="148"/>
      <c r="C197" s="149"/>
      <c r="D197" s="71"/>
      <c r="E197" s="73"/>
      <c r="F197" s="73"/>
      <c r="G197" s="73"/>
      <c r="H197" s="73"/>
      <c r="I197" s="73"/>
      <c r="J197" s="73"/>
      <c r="K197" s="70"/>
      <c r="L197" s="73"/>
      <c r="M197" s="69"/>
      <c r="N197" s="70"/>
      <c r="O197" s="73"/>
      <c r="P197" s="70"/>
      <c r="Q197" s="71"/>
      <c r="R197" s="73"/>
      <c r="S197" s="73"/>
      <c r="T197" s="41"/>
      <c r="U197" s="40"/>
      <c r="V197" s="40"/>
      <c r="W197" s="40"/>
    </row>
    <row r="198" spans="1:23" s="1" customFormat="1" ht="11.25" customHeight="1">
      <c r="A198" s="62"/>
      <c r="B198" s="148"/>
      <c r="C198" s="149"/>
      <c r="D198" s="71"/>
      <c r="E198" s="73"/>
      <c r="F198" s="69"/>
      <c r="G198" s="73"/>
      <c r="H198" s="73"/>
      <c r="I198" s="73"/>
      <c r="J198" s="73"/>
      <c r="K198" s="73"/>
      <c r="L198" s="70"/>
      <c r="M198" s="73"/>
      <c r="N198" s="73"/>
      <c r="O198" s="73"/>
      <c r="P198" s="73"/>
      <c r="Q198" s="74"/>
      <c r="R198" s="73"/>
      <c r="S198" s="73"/>
      <c r="T198" s="75"/>
      <c r="U198" s="76"/>
      <c r="V198" s="76"/>
      <c r="W198" s="76"/>
    </row>
    <row r="199" spans="1:23" s="1" customFormat="1" ht="11.25" customHeight="1">
      <c r="A199" s="136"/>
      <c r="B199" s="63"/>
      <c r="C199" s="63"/>
      <c r="D199" s="66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45"/>
      <c r="U199" s="46"/>
      <c r="V199" s="46"/>
      <c r="W199" s="46"/>
    </row>
    <row r="200" spans="1:23" s="1" customFormat="1" ht="11.25" customHeight="1">
      <c r="A200" s="139" t="s">
        <v>67</v>
      </c>
      <c r="B200" s="137"/>
      <c r="C200" s="137"/>
      <c r="D200" s="138"/>
      <c r="E200" s="78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12"/>
      <c r="U200" s="19"/>
      <c r="V200" s="19"/>
      <c r="W200" s="19"/>
    </row>
    <row r="201" spans="1:23" s="1" customFormat="1" ht="11.25" customHeight="1">
      <c r="A201" s="139" t="s">
        <v>69</v>
      </c>
      <c r="B201" s="140"/>
      <c r="C201" s="140"/>
      <c r="D201" s="141"/>
      <c r="E201" s="38">
        <f aca="true" t="shared" si="34" ref="E201:S201">SUM(E183,E193,E199)</f>
        <v>52.75666666666667</v>
      </c>
      <c r="F201" s="37">
        <f t="shared" si="34"/>
        <v>50.489533333333334</v>
      </c>
      <c r="G201" s="37">
        <f t="shared" si="34"/>
        <v>142.01120000000003</v>
      </c>
      <c r="H201" s="37">
        <f t="shared" si="34"/>
        <v>1234.2772666666667</v>
      </c>
      <c r="I201" s="38">
        <f t="shared" si="34"/>
        <v>0.7978666666666667</v>
      </c>
      <c r="J201" s="38">
        <f t="shared" si="34"/>
        <v>2.0779333333333336</v>
      </c>
      <c r="K201" s="37">
        <f t="shared" si="34"/>
        <v>114.87506666666667</v>
      </c>
      <c r="L201" s="38">
        <f t="shared" si="34"/>
        <v>37.130700000000004</v>
      </c>
      <c r="M201" s="38">
        <f t="shared" si="34"/>
        <v>9.643333333333334</v>
      </c>
      <c r="N201" s="37">
        <f t="shared" si="34"/>
        <v>637.8673333333334</v>
      </c>
      <c r="O201" s="37">
        <f t="shared" si="34"/>
        <v>968.3893333333333</v>
      </c>
      <c r="P201" s="38">
        <f t="shared" si="34"/>
        <v>8.970666666666668</v>
      </c>
      <c r="Q201" s="39">
        <f t="shared" si="34"/>
        <v>0.05553333333333334</v>
      </c>
      <c r="R201" s="38">
        <f t="shared" si="34"/>
        <v>158.41700000000003</v>
      </c>
      <c r="S201" s="38">
        <f t="shared" si="34"/>
        <v>10.651333333333334</v>
      </c>
      <c r="T201" s="13"/>
      <c r="U201" s="25"/>
      <c r="V201" s="25"/>
      <c r="W201" s="25"/>
    </row>
    <row r="202" spans="1:23" s="1" customFormat="1" ht="11.25" customHeight="1">
      <c r="A202" s="136" t="s">
        <v>68</v>
      </c>
      <c r="B202" s="140"/>
      <c r="C202" s="140"/>
      <c r="D202" s="141"/>
      <c r="E202" s="73">
        <v>77</v>
      </c>
      <c r="F202" s="70">
        <v>79</v>
      </c>
      <c r="G202" s="70">
        <v>335</v>
      </c>
      <c r="H202" s="70">
        <v>2350</v>
      </c>
      <c r="I202" s="73">
        <v>1.2</v>
      </c>
      <c r="J202" s="73">
        <v>1.4</v>
      </c>
      <c r="K202" s="71">
        <v>60</v>
      </c>
      <c r="L202" s="73">
        <v>0.7</v>
      </c>
      <c r="M202" s="71">
        <v>10</v>
      </c>
      <c r="N202" s="71">
        <v>1100</v>
      </c>
      <c r="O202" s="71">
        <v>1100</v>
      </c>
      <c r="P202" s="71">
        <v>10</v>
      </c>
      <c r="Q202" s="70">
        <v>0.1</v>
      </c>
      <c r="R202" s="71">
        <v>250</v>
      </c>
      <c r="S202" s="73">
        <v>12</v>
      </c>
      <c r="T202" s="14"/>
      <c r="U202" s="20"/>
      <c r="V202" s="20"/>
      <c r="W202" s="20"/>
    </row>
    <row r="203" spans="1:23" s="1" customFormat="1" ht="11.25" customHeight="1">
      <c r="A203" s="59"/>
      <c r="B203" s="137"/>
      <c r="C203" s="137"/>
      <c r="D203" s="138"/>
      <c r="E203" s="78">
        <f aca="true" t="shared" si="35" ref="E203:S203">E201/E202</f>
        <v>0.6851515151515152</v>
      </c>
      <c r="F203" s="43">
        <f t="shared" si="35"/>
        <v>0.6391080168776372</v>
      </c>
      <c r="G203" s="43">
        <f t="shared" si="35"/>
        <v>0.4239140298507464</v>
      </c>
      <c r="H203" s="43">
        <f t="shared" si="35"/>
        <v>0.5252243687943262</v>
      </c>
      <c r="I203" s="43">
        <f t="shared" si="35"/>
        <v>0.664888888888889</v>
      </c>
      <c r="J203" s="43">
        <f t="shared" si="35"/>
        <v>1.4842380952380956</v>
      </c>
      <c r="K203" s="43">
        <f t="shared" si="35"/>
        <v>1.9145844444444444</v>
      </c>
      <c r="L203" s="44">
        <f>L201/L202</f>
        <v>53.04385714285715</v>
      </c>
      <c r="M203" s="43">
        <f t="shared" si="35"/>
        <v>0.9643333333333335</v>
      </c>
      <c r="N203" s="43">
        <f t="shared" si="35"/>
        <v>0.5798793939393939</v>
      </c>
      <c r="O203" s="43">
        <f t="shared" si="35"/>
        <v>0.8803539393939394</v>
      </c>
      <c r="P203" s="43">
        <f t="shared" si="35"/>
        <v>0.8970666666666668</v>
      </c>
      <c r="Q203" s="44">
        <f t="shared" si="35"/>
        <v>0.5553333333333333</v>
      </c>
      <c r="R203" s="43">
        <f t="shared" si="35"/>
        <v>0.6336680000000001</v>
      </c>
      <c r="S203" s="44">
        <f t="shared" si="35"/>
        <v>0.8876111111111111</v>
      </c>
      <c r="T203" s="15"/>
      <c r="U203" s="21"/>
      <c r="V203" s="21"/>
      <c r="W203" s="21"/>
    </row>
    <row r="204" spans="1:23" s="1" customFormat="1" ht="21.75" customHeight="1">
      <c r="A204" s="142" t="s">
        <v>39</v>
      </c>
      <c r="B204" s="56"/>
      <c r="C204" s="56"/>
      <c r="D204" s="72"/>
      <c r="E204" s="35"/>
      <c r="F204" s="72"/>
      <c r="G204" s="72"/>
      <c r="H204" s="72"/>
      <c r="I204" s="72"/>
      <c r="J204" s="72"/>
      <c r="K204" s="72"/>
      <c r="L204" s="174" t="s">
        <v>80</v>
      </c>
      <c r="M204" s="174"/>
      <c r="N204" s="174"/>
      <c r="O204" s="174"/>
      <c r="P204" s="174"/>
      <c r="Q204" s="174"/>
      <c r="R204" s="174"/>
      <c r="S204" s="174"/>
      <c r="T204" s="9"/>
      <c r="U204" s="22"/>
      <c r="V204" s="22"/>
      <c r="W204" s="22"/>
    </row>
    <row r="205" spans="1:23" s="1" customFormat="1" ht="21" customHeight="1">
      <c r="A205" s="60" t="s">
        <v>59</v>
      </c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9"/>
      <c r="U205" s="22"/>
      <c r="V205" s="22"/>
      <c r="W205" s="22"/>
    </row>
    <row r="206" spans="1:23" s="1" customFormat="1" ht="11.25" customHeight="1">
      <c r="A206" s="56"/>
      <c r="B206" s="56"/>
      <c r="C206" s="56"/>
      <c r="D206" s="2"/>
      <c r="E206" s="35"/>
      <c r="F206" s="175" t="s">
        <v>31</v>
      </c>
      <c r="G206" s="175"/>
      <c r="H206" s="175"/>
      <c r="I206" s="72"/>
      <c r="J206" s="72"/>
      <c r="K206" s="171" t="s">
        <v>2</v>
      </c>
      <c r="L206" s="171"/>
      <c r="M206" s="168" t="s">
        <v>77</v>
      </c>
      <c r="N206" s="168"/>
      <c r="O206" s="168"/>
      <c r="P206" s="168"/>
      <c r="Q206" s="72"/>
      <c r="R206" s="72"/>
      <c r="S206" s="72"/>
      <c r="T206" s="10"/>
      <c r="U206" s="23"/>
      <c r="V206" s="23"/>
      <c r="W206" s="23"/>
    </row>
    <row r="207" spans="1:23" s="1" customFormat="1" ht="11.25" customHeight="1">
      <c r="A207" s="169" t="s">
        <v>5</v>
      </c>
      <c r="B207" s="56"/>
      <c r="C207" s="56"/>
      <c r="D207" s="189" t="s">
        <v>3</v>
      </c>
      <c r="E207" s="189"/>
      <c r="F207" s="7">
        <v>2</v>
      </c>
      <c r="G207" s="72"/>
      <c r="H207" s="2"/>
      <c r="I207" s="2"/>
      <c r="J207" s="2"/>
      <c r="K207" s="189" t="s">
        <v>4</v>
      </c>
      <c r="L207" s="189"/>
      <c r="M207" s="185" t="s">
        <v>61</v>
      </c>
      <c r="N207" s="185"/>
      <c r="O207" s="185"/>
      <c r="P207" s="185"/>
      <c r="Q207" s="185"/>
      <c r="R207" s="185"/>
      <c r="S207" s="185"/>
      <c r="T207" s="11"/>
      <c r="U207" s="24"/>
      <c r="V207" s="24"/>
      <c r="W207" s="24"/>
    </row>
    <row r="208" spans="1:23" s="3" customFormat="1" ht="11.25" customHeight="1">
      <c r="A208" s="170"/>
      <c r="B208" s="187" t="s">
        <v>6</v>
      </c>
      <c r="C208" s="188"/>
      <c r="D208" s="169" t="s">
        <v>7</v>
      </c>
      <c r="E208" s="165" t="s">
        <v>8</v>
      </c>
      <c r="F208" s="166"/>
      <c r="G208" s="167"/>
      <c r="H208" s="169" t="s">
        <v>9</v>
      </c>
      <c r="I208" s="165" t="s">
        <v>10</v>
      </c>
      <c r="J208" s="166"/>
      <c r="K208" s="166"/>
      <c r="L208" s="166"/>
      <c r="M208" s="167"/>
      <c r="N208" s="165" t="s">
        <v>11</v>
      </c>
      <c r="O208" s="166"/>
      <c r="P208" s="166"/>
      <c r="Q208" s="166"/>
      <c r="R208" s="166"/>
      <c r="S208" s="167"/>
      <c r="T208" s="11"/>
      <c r="U208" s="24"/>
      <c r="V208" s="24"/>
      <c r="W208" s="24"/>
    </row>
    <row r="209" spans="1:23" s="3" customFormat="1" ht="16.5" customHeight="1">
      <c r="A209" s="114">
        <v>1</v>
      </c>
      <c r="B209" s="172"/>
      <c r="C209" s="173"/>
      <c r="D209" s="170"/>
      <c r="E209" s="103" t="s">
        <v>12</v>
      </c>
      <c r="F209" s="117" t="s">
        <v>13</v>
      </c>
      <c r="G209" s="117" t="s">
        <v>14</v>
      </c>
      <c r="H209" s="170"/>
      <c r="I209" s="117" t="s">
        <v>15</v>
      </c>
      <c r="J209" s="117" t="s">
        <v>62</v>
      </c>
      <c r="K209" s="117" t="s">
        <v>16</v>
      </c>
      <c r="L209" s="117" t="s">
        <v>17</v>
      </c>
      <c r="M209" s="117" t="s">
        <v>18</v>
      </c>
      <c r="N209" s="117" t="s">
        <v>19</v>
      </c>
      <c r="O209" s="117" t="s">
        <v>20</v>
      </c>
      <c r="P209" s="117" t="s">
        <v>63</v>
      </c>
      <c r="Q209" s="117" t="s">
        <v>64</v>
      </c>
      <c r="R209" s="117" t="s">
        <v>21</v>
      </c>
      <c r="S209" s="117" t="s">
        <v>22</v>
      </c>
      <c r="T209" s="75"/>
      <c r="U209" s="76"/>
      <c r="V209" s="76"/>
      <c r="W209" s="76"/>
    </row>
    <row r="210" spans="1:23" s="3" customFormat="1" ht="11.25" customHeight="1">
      <c r="A210" s="133" t="s">
        <v>26</v>
      </c>
      <c r="B210" s="157">
        <v>2</v>
      </c>
      <c r="C210" s="158"/>
      <c r="D210" s="36">
        <v>3</v>
      </c>
      <c r="E210" s="104">
        <v>4</v>
      </c>
      <c r="F210" s="36">
        <v>5</v>
      </c>
      <c r="G210" s="36">
        <v>6</v>
      </c>
      <c r="H210" s="36">
        <v>7</v>
      </c>
      <c r="I210" s="36">
        <v>8</v>
      </c>
      <c r="J210" s="36">
        <v>9</v>
      </c>
      <c r="K210" s="36">
        <v>10</v>
      </c>
      <c r="L210" s="36">
        <v>11</v>
      </c>
      <c r="M210" s="36">
        <v>12</v>
      </c>
      <c r="N210" s="36">
        <v>13</v>
      </c>
      <c r="O210" s="36">
        <v>14</v>
      </c>
      <c r="P210" s="36">
        <v>15</v>
      </c>
      <c r="Q210" s="36">
        <v>16</v>
      </c>
      <c r="R210" s="36">
        <v>17</v>
      </c>
      <c r="S210" s="36">
        <v>18</v>
      </c>
      <c r="T210" s="75"/>
      <c r="U210" s="76"/>
      <c r="V210" s="76"/>
      <c r="W210" s="76"/>
    </row>
    <row r="211" spans="1:23" s="3" customFormat="1" ht="11.25" customHeight="1">
      <c r="A211" s="132">
        <v>1</v>
      </c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5"/>
      <c r="T211" s="37"/>
      <c r="U211" s="40"/>
      <c r="V211" s="40"/>
      <c r="W211" s="40"/>
    </row>
    <row r="212" spans="1:23" s="3" customFormat="1" ht="11.25" customHeight="1">
      <c r="A212" s="68">
        <v>338</v>
      </c>
      <c r="B212" s="200" t="s">
        <v>131</v>
      </c>
      <c r="C212" s="190"/>
      <c r="D212" s="88">
        <v>80</v>
      </c>
      <c r="E212" s="201">
        <v>5.1</v>
      </c>
      <c r="F212" s="88">
        <v>4.6</v>
      </c>
      <c r="G212" s="88">
        <v>0.3</v>
      </c>
      <c r="H212" s="202">
        <f aca="true" t="shared" si="36" ref="H212:H217">E212*4+F212*9+G212*4</f>
        <v>63</v>
      </c>
      <c r="I212" s="88">
        <v>0.03</v>
      </c>
      <c r="J212" s="88">
        <v>0</v>
      </c>
      <c r="K212" s="201">
        <v>0</v>
      </c>
      <c r="L212" s="88">
        <v>0.1</v>
      </c>
      <c r="M212" s="88">
        <v>0</v>
      </c>
      <c r="N212" s="88">
        <v>22</v>
      </c>
      <c r="O212" s="88">
        <v>76.8</v>
      </c>
      <c r="P212" s="88">
        <v>0</v>
      </c>
      <c r="Q212" s="88">
        <v>0</v>
      </c>
      <c r="R212" s="88">
        <v>4.8</v>
      </c>
      <c r="S212" s="88">
        <v>1</v>
      </c>
      <c r="T212" s="48"/>
      <c r="U212" s="40"/>
      <c r="V212" s="40"/>
      <c r="W212" s="40"/>
    </row>
    <row r="213" spans="1:23" s="3" customFormat="1" ht="11.25" customHeight="1">
      <c r="A213" s="79"/>
      <c r="B213" s="148" t="s">
        <v>98</v>
      </c>
      <c r="C213" s="149"/>
      <c r="D213" s="81">
        <v>100</v>
      </c>
      <c r="E213" s="73">
        <f>1.5*D213/100</f>
        <v>1.5</v>
      </c>
      <c r="F213" s="73">
        <f>0.5*D213/100</f>
        <v>0.5</v>
      </c>
      <c r="G213" s="73">
        <f>21*D213/100</f>
        <v>21</v>
      </c>
      <c r="H213" s="80">
        <f>E213*4+F213*9+G213*4</f>
        <v>94.5</v>
      </c>
      <c r="I213" s="73">
        <f>0.04*D213/100</f>
        <v>0.04</v>
      </c>
      <c r="J213" s="73">
        <f>0.05*D213/100</f>
        <v>0.05</v>
      </c>
      <c r="K213" s="70">
        <f>10*D213/100</f>
        <v>10</v>
      </c>
      <c r="L213" s="74">
        <f>0.02*D213/100</f>
        <v>0.02</v>
      </c>
      <c r="M213" s="74">
        <f>0.4*D213/100</f>
        <v>0.4</v>
      </c>
      <c r="N213" s="74">
        <f>8*D213/100</f>
        <v>8</v>
      </c>
      <c r="O213" s="74">
        <f>28*D213/100</f>
        <v>28</v>
      </c>
      <c r="P213" s="74">
        <f>0.15*D213/100</f>
        <v>0.15</v>
      </c>
      <c r="Q213" s="74"/>
      <c r="R213" s="74">
        <f>42*D213/100</f>
        <v>42</v>
      </c>
      <c r="S213" s="74"/>
      <c r="T213" s="16"/>
      <c r="U213" s="26"/>
      <c r="V213" s="26"/>
      <c r="W213" s="26"/>
    </row>
    <row r="214" spans="1:23" s="72" customFormat="1" ht="20.25" customHeight="1">
      <c r="A214" s="114">
        <v>175</v>
      </c>
      <c r="B214" s="184" t="s">
        <v>130</v>
      </c>
      <c r="C214" s="147"/>
      <c r="D214" s="71">
        <v>200</v>
      </c>
      <c r="E214" s="73">
        <v>6</v>
      </c>
      <c r="F214" s="69">
        <v>6.4</v>
      </c>
      <c r="G214" s="70">
        <v>9.4</v>
      </c>
      <c r="H214" s="73">
        <v>120</v>
      </c>
      <c r="I214" s="73">
        <v>0.06</v>
      </c>
      <c r="J214" s="73">
        <v>0</v>
      </c>
      <c r="K214" s="70">
        <v>12.4</v>
      </c>
      <c r="L214" s="73">
        <v>31</v>
      </c>
      <c r="M214" s="74">
        <v>0</v>
      </c>
      <c r="N214" s="70">
        <v>200</v>
      </c>
      <c r="O214" s="70">
        <v>153</v>
      </c>
      <c r="P214" s="73">
        <v>0</v>
      </c>
      <c r="Q214" s="74">
        <v>0</v>
      </c>
      <c r="R214" s="70">
        <v>25</v>
      </c>
      <c r="S214" s="73">
        <v>0.16</v>
      </c>
      <c r="T214" s="16"/>
      <c r="U214" s="26"/>
      <c r="V214" s="26"/>
      <c r="W214" s="26"/>
    </row>
    <row r="215" spans="1:23" s="72" customFormat="1" ht="21" customHeight="1">
      <c r="A215" s="114">
        <v>377</v>
      </c>
      <c r="B215" s="148" t="s">
        <v>73</v>
      </c>
      <c r="C215" s="149"/>
      <c r="D215" s="71">
        <v>150</v>
      </c>
      <c r="E215" s="73">
        <v>3.45</v>
      </c>
      <c r="F215" s="70">
        <v>4.95</v>
      </c>
      <c r="G215" s="70">
        <v>25.18</v>
      </c>
      <c r="H215" s="70">
        <f t="shared" si="36"/>
        <v>159.07</v>
      </c>
      <c r="I215" s="70">
        <v>0.14</v>
      </c>
      <c r="J215" s="70">
        <v>0.1</v>
      </c>
      <c r="K215" s="70">
        <v>3.35</v>
      </c>
      <c r="L215" s="74">
        <v>0.037</v>
      </c>
      <c r="M215" s="69">
        <v>0</v>
      </c>
      <c r="N215" s="70">
        <v>127.4</v>
      </c>
      <c r="O215" s="70">
        <v>183.5</v>
      </c>
      <c r="P215" s="71">
        <v>0</v>
      </c>
      <c r="Q215" s="71">
        <v>0</v>
      </c>
      <c r="R215" s="70">
        <v>55.1</v>
      </c>
      <c r="S215" s="73">
        <v>0.3</v>
      </c>
      <c r="T215" s="75"/>
      <c r="U215" s="76"/>
      <c r="V215" s="76"/>
      <c r="W215" s="76"/>
    </row>
    <row r="216" spans="1:23" s="3" customFormat="1" ht="11.25">
      <c r="A216" s="79" t="s">
        <v>81</v>
      </c>
      <c r="B216" s="147" t="s">
        <v>45</v>
      </c>
      <c r="C216" s="147"/>
      <c r="D216" s="71" t="s">
        <v>52</v>
      </c>
      <c r="E216" s="73">
        <v>0.26</v>
      </c>
      <c r="F216" s="73">
        <v>0.06</v>
      </c>
      <c r="G216" s="73">
        <v>15.22</v>
      </c>
      <c r="H216" s="73">
        <f t="shared" si="36"/>
        <v>62.46</v>
      </c>
      <c r="I216" s="73"/>
      <c r="J216" s="73">
        <v>0.01</v>
      </c>
      <c r="K216" s="73">
        <v>2.9</v>
      </c>
      <c r="L216" s="69">
        <v>0</v>
      </c>
      <c r="M216" s="73">
        <v>0.06</v>
      </c>
      <c r="N216" s="73">
        <v>8.05</v>
      </c>
      <c r="O216" s="73">
        <v>9.78</v>
      </c>
      <c r="P216" s="73">
        <v>0.017</v>
      </c>
      <c r="Q216" s="74">
        <v>0</v>
      </c>
      <c r="R216" s="73">
        <v>5.24</v>
      </c>
      <c r="S216" s="73">
        <v>0.87</v>
      </c>
      <c r="T216" s="75"/>
      <c r="U216" s="76"/>
      <c r="V216" s="76"/>
      <c r="W216" s="76"/>
    </row>
    <row r="217" spans="1:23" s="3" customFormat="1" ht="13.5" customHeight="1">
      <c r="A217" s="64" t="s">
        <v>25</v>
      </c>
      <c r="B217" s="148" t="s">
        <v>111</v>
      </c>
      <c r="C217" s="149"/>
      <c r="D217" s="71">
        <v>40</v>
      </c>
      <c r="E217" s="73">
        <f>1.52*D217/30</f>
        <v>2.0266666666666664</v>
      </c>
      <c r="F217" s="74">
        <f>0.16*D217/30</f>
        <v>0.21333333333333335</v>
      </c>
      <c r="G217" s="74">
        <f>9.84*D217/30</f>
        <v>13.120000000000001</v>
      </c>
      <c r="H217" s="74">
        <f t="shared" si="36"/>
        <v>62.50666666666667</v>
      </c>
      <c r="I217" s="74">
        <f>0.02*D217/30</f>
        <v>0.02666666666666667</v>
      </c>
      <c r="J217" s="74">
        <f>0.01*D217/30</f>
        <v>0.013333333333333334</v>
      </c>
      <c r="K217" s="74">
        <f>0.44*D217/30</f>
        <v>0.5866666666666667</v>
      </c>
      <c r="L217" s="74">
        <v>0</v>
      </c>
      <c r="M217" s="74">
        <f>0.7*D217/30</f>
        <v>0.9333333333333333</v>
      </c>
      <c r="N217" s="74">
        <f>4*D217/30</f>
        <v>5.333333333333333</v>
      </c>
      <c r="O217" s="74">
        <f>13*D217/30</f>
        <v>17.333333333333332</v>
      </c>
      <c r="P217" s="74">
        <f>0.008*D217/30</f>
        <v>0.010666666666666666</v>
      </c>
      <c r="Q217" s="74">
        <f>0.001*D217/30</f>
        <v>0.0013333333333333333</v>
      </c>
      <c r="R217" s="74">
        <v>0</v>
      </c>
      <c r="S217" s="74">
        <f>0.22*D217/30</f>
        <v>0.29333333333333333</v>
      </c>
      <c r="T217" s="75"/>
      <c r="U217" s="76"/>
      <c r="V217" s="76"/>
      <c r="W217" s="76"/>
    </row>
    <row r="218" spans="1:23" s="3" customFormat="1" ht="12.75" customHeight="1">
      <c r="A218" s="136" t="s">
        <v>68</v>
      </c>
      <c r="B218" s="65"/>
      <c r="C218" s="65"/>
      <c r="D218" s="66">
        <v>524</v>
      </c>
      <c r="E218" s="38">
        <f>SUM(E214:E217)</f>
        <v>11.736666666666665</v>
      </c>
      <c r="F218" s="38">
        <f>SUM(F214:F217)</f>
        <v>11.623333333333335</v>
      </c>
      <c r="G218" s="38">
        <f>SUM(G214:G217)</f>
        <v>62.92</v>
      </c>
      <c r="H218" s="38">
        <f>SUM(H214:H217)</f>
        <v>404.03666666666663</v>
      </c>
      <c r="I218" s="38">
        <f aca="true" t="shared" si="37" ref="I218:S218">SUM(I214:I217)</f>
        <v>0.22666666666666668</v>
      </c>
      <c r="J218" s="38">
        <f t="shared" si="37"/>
        <v>0.12333333333333334</v>
      </c>
      <c r="K218" s="38">
        <f t="shared" si="37"/>
        <v>19.236666666666665</v>
      </c>
      <c r="L218" s="38">
        <f t="shared" si="37"/>
        <v>31.037</v>
      </c>
      <c r="M218" s="38">
        <f t="shared" si="37"/>
        <v>0.9933333333333334</v>
      </c>
      <c r="N218" s="37">
        <f t="shared" si="37"/>
        <v>340.7833333333333</v>
      </c>
      <c r="O218" s="38">
        <f t="shared" si="37"/>
        <v>363.6133333333333</v>
      </c>
      <c r="P218" s="38">
        <f t="shared" si="37"/>
        <v>0.027666666666666666</v>
      </c>
      <c r="Q218" s="38">
        <f t="shared" si="37"/>
        <v>0.0013333333333333333</v>
      </c>
      <c r="R218" s="38">
        <f t="shared" si="37"/>
        <v>85.33999999999999</v>
      </c>
      <c r="S218" s="38">
        <f t="shared" si="37"/>
        <v>1.6233333333333335</v>
      </c>
      <c r="T218" s="75"/>
      <c r="U218" s="76"/>
      <c r="V218" s="76"/>
      <c r="W218" s="76"/>
    </row>
    <row r="219" spans="1:23" s="3" customFormat="1" ht="11.25" customHeight="1">
      <c r="A219" s="144" t="s">
        <v>28</v>
      </c>
      <c r="B219" s="137"/>
      <c r="C219" s="137"/>
      <c r="D219" s="138"/>
      <c r="E219" s="109">
        <f aca="true" t="shared" si="38" ref="E219:S219">E218/E236</f>
        <v>0.1524242424242424</v>
      </c>
      <c r="F219" s="43">
        <f t="shared" si="38"/>
        <v>0.14713080168776374</v>
      </c>
      <c r="G219" s="43">
        <f t="shared" si="38"/>
        <v>0.18782089552238806</v>
      </c>
      <c r="H219" s="43">
        <f t="shared" si="38"/>
        <v>0.17193049645390068</v>
      </c>
      <c r="I219" s="43">
        <f t="shared" si="38"/>
        <v>0.1888888888888889</v>
      </c>
      <c r="J219" s="43">
        <f t="shared" si="38"/>
        <v>0.0880952380952381</v>
      </c>
      <c r="K219" s="43">
        <f t="shared" si="38"/>
        <v>0.32061111111111107</v>
      </c>
      <c r="L219" s="43">
        <f t="shared" si="38"/>
        <v>44.33857142857143</v>
      </c>
      <c r="M219" s="43">
        <f t="shared" si="38"/>
        <v>0.09933333333333334</v>
      </c>
      <c r="N219" s="43">
        <f t="shared" si="38"/>
        <v>0.3098030303030303</v>
      </c>
      <c r="O219" s="43">
        <f t="shared" si="38"/>
        <v>0.3305575757575757</v>
      </c>
      <c r="P219" s="43">
        <f t="shared" si="38"/>
        <v>0.0027666666666666664</v>
      </c>
      <c r="Q219" s="43">
        <f t="shared" si="38"/>
        <v>0.013333333333333332</v>
      </c>
      <c r="R219" s="43">
        <f t="shared" si="38"/>
        <v>0.34135999999999994</v>
      </c>
      <c r="S219" s="43">
        <f t="shared" si="38"/>
        <v>0.1352777777777778</v>
      </c>
      <c r="T219" s="30"/>
      <c r="U219" s="31"/>
      <c r="V219" s="31"/>
      <c r="W219" s="31"/>
    </row>
    <row r="220" spans="1:23" s="3" customFormat="1" ht="11.25" customHeight="1">
      <c r="A220" s="98">
        <v>67</v>
      </c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6"/>
      <c r="T220" s="37"/>
      <c r="U220" s="40"/>
      <c r="V220" s="40"/>
      <c r="W220" s="40"/>
    </row>
    <row r="221" spans="1:23" s="3" customFormat="1" ht="11.25" customHeight="1">
      <c r="A221" s="114">
        <v>113</v>
      </c>
      <c r="B221" s="152" t="s">
        <v>97</v>
      </c>
      <c r="C221" s="153"/>
      <c r="D221" s="98">
        <v>60</v>
      </c>
      <c r="E221" s="99">
        <f>1.5*D221/60</f>
        <v>1.5</v>
      </c>
      <c r="F221" s="98">
        <f>3.47*D221/60</f>
        <v>3.47</v>
      </c>
      <c r="G221" s="98">
        <f>6.77*D221/60</f>
        <v>6.77</v>
      </c>
      <c r="H221" s="73">
        <f aca="true" t="shared" si="39" ref="H221:H226">E221*4+F221*9+G221*4</f>
        <v>64.31</v>
      </c>
      <c r="I221" s="98">
        <f>0.04*D221/60</f>
        <v>0.04</v>
      </c>
      <c r="J221" s="98">
        <f>0.03*D221/60</f>
        <v>0.029999999999999995</v>
      </c>
      <c r="K221" s="98">
        <f>8.6*D221/60</f>
        <v>8.6</v>
      </c>
      <c r="L221" s="98">
        <f>0.74*D221/60</f>
        <v>0.74</v>
      </c>
      <c r="M221" s="98">
        <f>0.2*D221/60</f>
        <v>0.2</v>
      </c>
      <c r="N221" s="99">
        <f>23.39*D221/60</f>
        <v>23.39</v>
      </c>
      <c r="O221" s="100">
        <f>34.04*D221/60</f>
        <v>34.04</v>
      </c>
      <c r="P221" s="98">
        <f>0.01*D221/60</f>
        <v>0.01</v>
      </c>
      <c r="Q221" s="98">
        <f>0.04*D221/60</f>
        <v>0.04</v>
      </c>
      <c r="R221" s="98">
        <f>15.61*D221/60</f>
        <v>15.609999999999998</v>
      </c>
      <c r="S221" s="98">
        <f>0.7*D221/60</f>
        <v>0.7</v>
      </c>
      <c r="T221" s="11"/>
      <c r="U221" s="24"/>
      <c r="V221" s="24"/>
      <c r="W221" s="24"/>
    </row>
    <row r="222" spans="1:23" s="72" customFormat="1" ht="11.25" customHeight="1">
      <c r="A222" s="114">
        <v>293</v>
      </c>
      <c r="B222" s="148" t="s">
        <v>117</v>
      </c>
      <c r="C222" s="149"/>
      <c r="D222" s="69">
        <v>200</v>
      </c>
      <c r="E222" s="73">
        <v>6.9</v>
      </c>
      <c r="F222" s="74">
        <v>6.95</v>
      </c>
      <c r="G222" s="74">
        <v>18.76</v>
      </c>
      <c r="H222" s="74">
        <f t="shared" si="39"/>
        <v>165.19</v>
      </c>
      <c r="I222" s="74">
        <v>0.18</v>
      </c>
      <c r="J222" s="74">
        <v>0.17</v>
      </c>
      <c r="K222" s="74">
        <v>4.22</v>
      </c>
      <c r="L222" s="74">
        <v>0.82</v>
      </c>
      <c r="M222" s="74">
        <v>0.3</v>
      </c>
      <c r="N222" s="74">
        <v>34.7</v>
      </c>
      <c r="O222" s="74">
        <v>75.88</v>
      </c>
      <c r="P222" s="74">
        <v>0.1</v>
      </c>
      <c r="Q222" s="74">
        <v>0.001</v>
      </c>
      <c r="R222" s="74">
        <v>14.51</v>
      </c>
      <c r="S222" s="74">
        <v>0.99</v>
      </c>
      <c r="T222" s="11"/>
      <c r="U222" s="24"/>
      <c r="V222" s="24"/>
      <c r="W222" s="24"/>
    </row>
    <row r="223" spans="1:23" s="3" customFormat="1" ht="12.75" customHeight="1">
      <c r="A223" s="79">
        <v>171</v>
      </c>
      <c r="B223" s="148" t="s">
        <v>84</v>
      </c>
      <c r="C223" s="149"/>
      <c r="D223" s="71">
        <v>90</v>
      </c>
      <c r="E223" s="73">
        <f>D223*16.9/80</f>
        <v>19.012499999999996</v>
      </c>
      <c r="F223" s="73">
        <f>D223*9.66/80</f>
        <v>10.8675</v>
      </c>
      <c r="G223" s="73">
        <f>D223*0.15/80</f>
        <v>0.16875</v>
      </c>
      <c r="H223" s="73">
        <f t="shared" si="39"/>
        <v>174.5325</v>
      </c>
      <c r="I223" s="73">
        <f>D223*0.08/80</f>
        <v>0.09</v>
      </c>
      <c r="J223" s="73">
        <v>0.17</v>
      </c>
      <c r="K223" s="73">
        <f>D223*0.02/80</f>
        <v>0.0225</v>
      </c>
      <c r="L223" s="71">
        <v>0</v>
      </c>
      <c r="M223" s="69">
        <v>0</v>
      </c>
      <c r="N223" s="70">
        <f>D223*17.3/80</f>
        <v>19.4625</v>
      </c>
      <c r="O223" s="73">
        <f>D223*1.42/80</f>
        <v>1.5975</v>
      </c>
      <c r="P223" s="71">
        <v>0</v>
      </c>
      <c r="Q223" s="71">
        <v>0</v>
      </c>
      <c r="R223" s="73">
        <f>D223*15.18/80</f>
        <v>17.0775</v>
      </c>
      <c r="S223" s="73">
        <f>D223*1.65/80</f>
        <v>1.85625</v>
      </c>
      <c r="T223" s="75"/>
      <c r="U223" s="76"/>
      <c r="V223" s="76"/>
      <c r="W223" s="76"/>
    </row>
    <row r="224" spans="1:23" s="3" customFormat="1" ht="11.25" customHeight="1">
      <c r="A224" s="79">
        <v>349</v>
      </c>
      <c r="B224" s="148" t="s">
        <v>24</v>
      </c>
      <c r="C224" s="149"/>
      <c r="D224" s="71">
        <v>150</v>
      </c>
      <c r="E224" s="73">
        <v>6.57</v>
      </c>
      <c r="F224" s="73">
        <v>4.19</v>
      </c>
      <c r="G224" s="73">
        <v>32.32</v>
      </c>
      <c r="H224" s="73">
        <f t="shared" si="39"/>
        <v>193.27</v>
      </c>
      <c r="I224" s="73">
        <v>0.06</v>
      </c>
      <c r="J224" s="73">
        <v>0.03</v>
      </c>
      <c r="K224" s="69">
        <v>0</v>
      </c>
      <c r="L224" s="73">
        <v>0.03</v>
      </c>
      <c r="M224" s="69">
        <v>2.55</v>
      </c>
      <c r="N224" s="73">
        <v>18.12</v>
      </c>
      <c r="O224" s="73">
        <v>157.03</v>
      </c>
      <c r="P224" s="73">
        <v>0.8874</v>
      </c>
      <c r="Q224" s="77">
        <v>0.00135</v>
      </c>
      <c r="R224" s="73">
        <v>104.45</v>
      </c>
      <c r="S224" s="73">
        <v>3.55</v>
      </c>
      <c r="T224" s="75"/>
      <c r="U224" s="76"/>
      <c r="V224" s="76"/>
      <c r="W224" s="76"/>
    </row>
    <row r="225" spans="1:23" s="1" customFormat="1" ht="0.75" customHeight="1">
      <c r="A225" s="80" t="s">
        <v>81</v>
      </c>
      <c r="B225" s="148" t="s">
        <v>50</v>
      </c>
      <c r="C225" s="149"/>
      <c r="D225" s="71">
        <v>200</v>
      </c>
      <c r="E225" s="73">
        <v>0.22</v>
      </c>
      <c r="F225" s="69"/>
      <c r="G225" s="73">
        <v>24.42</v>
      </c>
      <c r="H225" s="73">
        <f t="shared" si="39"/>
        <v>98.56</v>
      </c>
      <c r="I225" s="69"/>
      <c r="J225" s="69"/>
      <c r="K225" s="73">
        <v>26.11</v>
      </c>
      <c r="L225" s="69"/>
      <c r="M225" s="69"/>
      <c r="N225" s="70">
        <v>22.6</v>
      </c>
      <c r="O225" s="70">
        <v>7.7</v>
      </c>
      <c r="P225" s="71">
        <v>0</v>
      </c>
      <c r="Q225" s="71">
        <v>0</v>
      </c>
      <c r="R225" s="70">
        <v>3</v>
      </c>
      <c r="S225" s="73">
        <v>0.66</v>
      </c>
      <c r="T225" s="37"/>
      <c r="U225" s="40"/>
      <c r="V225" s="40"/>
      <c r="W225" s="40"/>
    </row>
    <row r="226" spans="1:23" s="1" customFormat="1" ht="11.25" customHeight="1" hidden="1">
      <c r="A226" s="62" t="s">
        <v>29</v>
      </c>
      <c r="B226" s="148" t="s">
        <v>46</v>
      </c>
      <c r="C226" s="149"/>
      <c r="D226" s="71">
        <v>40</v>
      </c>
      <c r="E226" s="73">
        <f>2.64*D226/40</f>
        <v>2.64</v>
      </c>
      <c r="F226" s="73">
        <f>0.48*D226/40</f>
        <v>0.48</v>
      </c>
      <c r="G226" s="73">
        <f>13.68*D226/40</f>
        <v>13.680000000000001</v>
      </c>
      <c r="H226" s="70">
        <f t="shared" si="39"/>
        <v>69.60000000000001</v>
      </c>
      <c r="I226" s="69">
        <f>0.08*D226/40</f>
        <v>0.08</v>
      </c>
      <c r="J226" s="73">
        <f>0.04*D226/40</f>
        <v>0.04</v>
      </c>
      <c r="K226" s="71">
        <v>0</v>
      </c>
      <c r="L226" s="71">
        <v>0</v>
      </c>
      <c r="M226" s="73">
        <f>2.4*D226/40</f>
        <v>2.4</v>
      </c>
      <c r="N226" s="73">
        <f>14*D226/40</f>
        <v>14</v>
      </c>
      <c r="O226" s="73">
        <f>63.2*D226/40</f>
        <v>63.2</v>
      </c>
      <c r="P226" s="73">
        <f>1.2*D226/40</f>
        <v>1.2</v>
      </c>
      <c r="Q226" s="74">
        <f>0.001*D226/40</f>
        <v>0.001</v>
      </c>
      <c r="R226" s="73">
        <f>9.4*D226/40</f>
        <v>9.4</v>
      </c>
      <c r="S226" s="69">
        <f>0.78*D226/40</f>
        <v>0.78</v>
      </c>
      <c r="T226" s="48"/>
      <c r="U226" s="40"/>
      <c r="V226" s="40"/>
      <c r="W226" s="40"/>
    </row>
    <row r="227" spans="1:23" s="1" customFormat="1" ht="11.25" customHeight="1" hidden="1">
      <c r="A227" s="136" t="s">
        <v>68</v>
      </c>
      <c r="B227" s="63"/>
      <c r="C227" s="63"/>
      <c r="D227" s="61">
        <v>790</v>
      </c>
      <c r="E227" s="38">
        <f aca="true" t="shared" si="40" ref="E227:S227">SUM(E221:E226)</f>
        <v>36.842499999999994</v>
      </c>
      <c r="F227" s="37">
        <f t="shared" si="40"/>
        <v>25.957500000000003</v>
      </c>
      <c r="G227" s="37">
        <f t="shared" si="40"/>
        <v>96.11875</v>
      </c>
      <c r="H227" s="37">
        <f t="shared" si="40"/>
        <v>765.4625</v>
      </c>
      <c r="I227" s="37">
        <f t="shared" si="40"/>
        <v>0.45</v>
      </c>
      <c r="J227" s="37">
        <f t="shared" si="40"/>
        <v>0.44</v>
      </c>
      <c r="K227" s="37">
        <f t="shared" si="40"/>
        <v>38.9525</v>
      </c>
      <c r="L227" s="37">
        <f t="shared" si="40"/>
        <v>1.59</v>
      </c>
      <c r="M227" s="37">
        <f t="shared" si="40"/>
        <v>5.449999999999999</v>
      </c>
      <c r="N227" s="37">
        <f t="shared" si="40"/>
        <v>132.2725</v>
      </c>
      <c r="O227" s="37">
        <f t="shared" si="40"/>
        <v>339.4475</v>
      </c>
      <c r="P227" s="37">
        <f t="shared" si="40"/>
        <v>2.1974</v>
      </c>
      <c r="Q227" s="37">
        <f t="shared" si="40"/>
        <v>0.04335</v>
      </c>
      <c r="R227" s="37">
        <f t="shared" si="40"/>
        <v>164.0475</v>
      </c>
      <c r="S227" s="37">
        <f t="shared" si="40"/>
        <v>8.536249999999999</v>
      </c>
      <c r="T227" s="41"/>
      <c r="U227" s="40"/>
      <c r="V227" s="40"/>
      <c r="W227" s="40"/>
    </row>
    <row r="228" spans="1:23" s="1" customFormat="1" ht="11.25" customHeight="1" hidden="1">
      <c r="A228" s="133"/>
      <c r="B228" s="137"/>
      <c r="C228" s="137"/>
      <c r="D228" s="138"/>
      <c r="E228" s="109">
        <f>E227/E236</f>
        <v>0.4784740259740259</v>
      </c>
      <c r="F228" s="43">
        <f aca="true" t="shared" si="41" ref="F228:S228">F227/F236</f>
        <v>0.32857594936708867</v>
      </c>
      <c r="G228" s="43">
        <f t="shared" si="41"/>
        <v>0.2869216417910448</v>
      </c>
      <c r="H228" s="43">
        <f t="shared" si="41"/>
        <v>0.3257287234042553</v>
      </c>
      <c r="I228" s="43">
        <f t="shared" si="41"/>
        <v>0.375</v>
      </c>
      <c r="J228" s="43">
        <f t="shared" si="41"/>
        <v>0.31428571428571433</v>
      </c>
      <c r="K228" s="43">
        <f t="shared" si="41"/>
        <v>0.6492083333333334</v>
      </c>
      <c r="L228" s="43">
        <f t="shared" si="41"/>
        <v>2.271428571428572</v>
      </c>
      <c r="M228" s="43">
        <f t="shared" si="41"/>
        <v>0.5449999999999999</v>
      </c>
      <c r="N228" s="43">
        <f t="shared" si="41"/>
        <v>0.12024772727272728</v>
      </c>
      <c r="O228" s="43">
        <f t="shared" si="41"/>
        <v>0.30858863636363637</v>
      </c>
      <c r="P228" s="43">
        <f t="shared" si="41"/>
        <v>0.21974</v>
      </c>
      <c r="Q228" s="43">
        <f t="shared" si="41"/>
        <v>0.4335</v>
      </c>
      <c r="R228" s="43">
        <f t="shared" si="41"/>
        <v>0.65619</v>
      </c>
      <c r="S228" s="43">
        <f t="shared" si="41"/>
        <v>0.7113541666666666</v>
      </c>
      <c r="T228" s="75"/>
      <c r="U228" s="76"/>
      <c r="V228" s="76"/>
      <c r="W228" s="76"/>
    </row>
    <row r="229" spans="1:23" s="1" customFormat="1" ht="11.25" customHeight="1" hidden="1">
      <c r="A229" s="68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5"/>
      <c r="T229" s="45"/>
      <c r="U229" s="46"/>
      <c r="V229" s="46"/>
      <c r="W229" s="46"/>
    </row>
    <row r="230" spans="1:23" s="1" customFormat="1" ht="11.25" customHeight="1">
      <c r="A230" s="80"/>
      <c r="B230" s="148"/>
      <c r="C230" s="149"/>
      <c r="D230" s="81"/>
      <c r="E230" s="73"/>
      <c r="F230" s="73"/>
      <c r="G230" s="73"/>
      <c r="H230" s="80"/>
      <c r="I230" s="73"/>
      <c r="J230" s="73"/>
      <c r="K230" s="70"/>
      <c r="L230" s="74"/>
      <c r="M230" s="74"/>
      <c r="N230" s="74"/>
      <c r="O230" s="74"/>
      <c r="P230" s="74"/>
      <c r="Q230" s="74"/>
      <c r="R230" s="74"/>
      <c r="S230" s="74"/>
      <c r="T230" s="12"/>
      <c r="U230" s="19"/>
      <c r="V230" s="19"/>
      <c r="W230" s="19"/>
    </row>
    <row r="231" spans="1:23" s="1" customFormat="1" ht="11.25" customHeight="1">
      <c r="A231" s="114"/>
      <c r="B231" s="148"/>
      <c r="C231" s="149"/>
      <c r="D231" s="71"/>
      <c r="E231" s="73"/>
      <c r="F231" s="73"/>
      <c r="G231" s="73"/>
      <c r="H231" s="73"/>
      <c r="I231" s="69"/>
      <c r="J231" s="69"/>
      <c r="K231" s="71"/>
      <c r="L231" s="69"/>
      <c r="M231" s="69"/>
      <c r="N231" s="70"/>
      <c r="O231" s="70"/>
      <c r="P231" s="71"/>
      <c r="Q231" s="71"/>
      <c r="R231" s="54"/>
      <c r="S231" s="73"/>
      <c r="T231" s="12"/>
      <c r="U231" s="19"/>
      <c r="V231" s="19"/>
      <c r="W231" s="19"/>
    </row>
    <row r="232" spans="1:23" s="1" customFormat="1" ht="11.25" customHeight="1">
      <c r="A232" s="62"/>
      <c r="B232" s="148"/>
      <c r="C232" s="149"/>
      <c r="D232" s="71"/>
      <c r="E232" s="73"/>
      <c r="F232" s="73"/>
      <c r="G232" s="73"/>
      <c r="H232" s="73"/>
      <c r="I232" s="74"/>
      <c r="J232" s="74"/>
      <c r="K232" s="73"/>
      <c r="L232" s="73"/>
      <c r="M232" s="69"/>
      <c r="N232" s="73"/>
      <c r="O232" s="73"/>
      <c r="P232" s="70"/>
      <c r="Q232" s="74"/>
      <c r="R232" s="73"/>
      <c r="S232" s="73"/>
      <c r="T232" s="13"/>
      <c r="U232" s="25"/>
      <c r="V232" s="25"/>
      <c r="W232" s="25"/>
    </row>
    <row r="233" spans="1:23" s="1" customFormat="1" ht="11.25" customHeight="1">
      <c r="A233" s="136"/>
      <c r="B233" s="63"/>
      <c r="C233" s="63"/>
      <c r="D233" s="66"/>
      <c r="E233" s="38"/>
      <c r="F233" s="37"/>
      <c r="G233" s="37"/>
      <c r="H233" s="37"/>
      <c r="I233" s="38"/>
      <c r="J233" s="38"/>
      <c r="K233" s="49"/>
      <c r="L233" s="37"/>
      <c r="M233" s="37"/>
      <c r="N233" s="37"/>
      <c r="O233" s="37"/>
      <c r="P233" s="37"/>
      <c r="Q233" s="38"/>
      <c r="R233" s="37"/>
      <c r="S233" s="38"/>
      <c r="T233" s="14"/>
      <c r="U233" s="20"/>
      <c r="V233" s="20"/>
      <c r="W233" s="20"/>
    </row>
    <row r="234" spans="1:23" s="1" customFormat="1" ht="11.25" customHeight="1">
      <c r="A234" s="139" t="s">
        <v>67</v>
      </c>
      <c r="B234" s="137"/>
      <c r="C234" s="137"/>
      <c r="D234" s="138"/>
      <c r="E234" s="78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15"/>
      <c r="U234" s="21"/>
      <c r="V234" s="21"/>
      <c r="W234" s="21"/>
    </row>
    <row r="235" spans="1:23" s="1" customFormat="1" ht="21.75" customHeight="1">
      <c r="A235" s="139" t="s">
        <v>69</v>
      </c>
      <c r="B235" s="140"/>
      <c r="C235" s="140"/>
      <c r="D235" s="141"/>
      <c r="E235" s="38">
        <f aca="true" t="shared" si="42" ref="E235:S235">SUM(E218,E227,E233)</f>
        <v>48.57916666666666</v>
      </c>
      <c r="F235" s="37">
        <f t="shared" si="42"/>
        <v>37.58083333333334</v>
      </c>
      <c r="G235" s="37">
        <f t="shared" si="42"/>
        <v>159.03875</v>
      </c>
      <c r="H235" s="37">
        <f t="shared" si="42"/>
        <v>1169.4991666666665</v>
      </c>
      <c r="I235" s="38">
        <f t="shared" si="42"/>
        <v>0.6766666666666667</v>
      </c>
      <c r="J235" s="38">
        <f t="shared" si="42"/>
        <v>0.5633333333333334</v>
      </c>
      <c r="K235" s="37">
        <f t="shared" si="42"/>
        <v>58.189166666666665</v>
      </c>
      <c r="L235" s="38">
        <f t="shared" si="42"/>
        <v>32.627</v>
      </c>
      <c r="M235" s="38">
        <f t="shared" si="42"/>
        <v>6.4433333333333325</v>
      </c>
      <c r="N235" s="37">
        <f t="shared" si="42"/>
        <v>473.05583333333334</v>
      </c>
      <c r="O235" s="37">
        <f t="shared" si="42"/>
        <v>703.0608333333332</v>
      </c>
      <c r="P235" s="38">
        <f t="shared" si="42"/>
        <v>2.2250666666666667</v>
      </c>
      <c r="Q235" s="39">
        <f t="shared" si="42"/>
        <v>0.04468333333333333</v>
      </c>
      <c r="R235" s="38">
        <f t="shared" si="42"/>
        <v>249.3875</v>
      </c>
      <c r="S235" s="38">
        <f t="shared" si="42"/>
        <v>10.159583333333332</v>
      </c>
      <c r="T235" s="9"/>
      <c r="U235" s="22"/>
      <c r="V235" s="22"/>
      <c r="W235" s="22"/>
    </row>
    <row r="236" spans="1:23" s="1" customFormat="1" ht="21" customHeight="1">
      <c r="A236" s="136" t="s">
        <v>68</v>
      </c>
      <c r="B236" s="140"/>
      <c r="C236" s="140"/>
      <c r="D236" s="141"/>
      <c r="E236" s="73">
        <v>77</v>
      </c>
      <c r="F236" s="70">
        <v>79</v>
      </c>
      <c r="G236" s="70">
        <v>335</v>
      </c>
      <c r="H236" s="70">
        <v>2350</v>
      </c>
      <c r="I236" s="73">
        <v>1.2</v>
      </c>
      <c r="J236" s="73">
        <v>1.4</v>
      </c>
      <c r="K236" s="71">
        <v>60</v>
      </c>
      <c r="L236" s="73">
        <v>0.7</v>
      </c>
      <c r="M236" s="71">
        <v>10</v>
      </c>
      <c r="N236" s="71">
        <v>1100</v>
      </c>
      <c r="O236" s="71">
        <v>1100</v>
      </c>
      <c r="P236" s="71">
        <v>10</v>
      </c>
      <c r="Q236" s="70">
        <v>0.1</v>
      </c>
      <c r="R236" s="71">
        <v>250</v>
      </c>
      <c r="S236" s="73">
        <v>12</v>
      </c>
      <c r="T236" s="9"/>
      <c r="U236" s="22"/>
      <c r="V236" s="22"/>
      <c r="W236" s="22"/>
    </row>
    <row r="237" spans="1:23" s="1" customFormat="1" ht="11.25" customHeight="1">
      <c r="A237" s="56"/>
      <c r="B237" s="137"/>
      <c r="C237" s="137"/>
      <c r="D237" s="138"/>
      <c r="E237" s="78">
        <f aca="true" t="shared" si="43" ref="E237:S237">E235/E236</f>
        <v>0.6308982683982683</v>
      </c>
      <c r="F237" s="43">
        <f t="shared" si="43"/>
        <v>0.4757067510548524</v>
      </c>
      <c r="G237" s="43">
        <f t="shared" si="43"/>
        <v>0.4747425373134328</v>
      </c>
      <c r="H237" s="43">
        <f t="shared" si="43"/>
        <v>0.497659219858156</v>
      </c>
      <c r="I237" s="43">
        <f t="shared" si="43"/>
        <v>0.563888888888889</v>
      </c>
      <c r="J237" s="43">
        <f t="shared" si="43"/>
        <v>0.4023809523809524</v>
      </c>
      <c r="K237" s="43">
        <f t="shared" si="43"/>
        <v>0.9698194444444445</v>
      </c>
      <c r="L237" s="44">
        <f t="shared" si="43"/>
        <v>46.61000000000001</v>
      </c>
      <c r="M237" s="43">
        <f t="shared" si="43"/>
        <v>0.6443333333333332</v>
      </c>
      <c r="N237" s="43">
        <f t="shared" si="43"/>
        <v>0.43005075757575756</v>
      </c>
      <c r="O237" s="43">
        <f t="shared" si="43"/>
        <v>0.639146212121212</v>
      </c>
      <c r="P237" s="43">
        <f t="shared" si="43"/>
        <v>0.22250666666666669</v>
      </c>
      <c r="Q237" s="44">
        <f t="shared" si="43"/>
        <v>0.4468333333333333</v>
      </c>
      <c r="R237" s="43">
        <f t="shared" si="43"/>
        <v>0.9975499999999999</v>
      </c>
      <c r="S237" s="44">
        <f t="shared" si="43"/>
        <v>0.8466319444444443</v>
      </c>
      <c r="T237" s="10"/>
      <c r="U237" s="23"/>
      <c r="V237" s="23"/>
      <c r="W237" s="23"/>
    </row>
    <row r="238" spans="1:23" s="1" customFormat="1" ht="11.25" customHeight="1">
      <c r="A238" s="142" t="s">
        <v>40</v>
      </c>
      <c r="B238" s="56"/>
      <c r="C238" s="115"/>
      <c r="D238" s="115"/>
      <c r="E238" s="105"/>
      <c r="F238" s="72"/>
      <c r="G238" s="2"/>
      <c r="H238" s="2"/>
      <c r="I238" s="72"/>
      <c r="J238" s="72"/>
      <c r="K238" s="72"/>
      <c r="L238" s="174" t="s">
        <v>80</v>
      </c>
      <c r="M238" s="174"/>
      <c r="N238" s="174"/>
      <c r="O238" s="174"/>
      <c r="P238" s="174"/>
      <c r="Q238" s="174"/>
      <c r="R238" s="174"/>
      <c r="S238" s="174"/>
      <c r="T238" s="11"/>
      <c r="U238" s="24"/>
      <c r="V238" s="24"/>
      <c r="W238" s="24"/>
    </row>
    <row r="239" spans="1:23" s="1" customFormat="1" ht="21" customHeight="1">
      <c r="A239" s="60" t="s">
        <v>60</v>
      </c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1"/>
      <c r="U239" s="24"/>
      <c r="V239" s="24"/>
      <c r="W239" s="24"/>
    </row>
    <row r="240" spans="1:23" s="72" customFormat="1" ht="23.25" customHeight="1">
      <c r="A240" s="56"/>
      <c r="B240" s="56"/>
      <c r="C240" s="56"/>
      <c r="D240" s="2"/>
      <c r="E240" s="35"/>
      <c r="F240" s="175" t="s">
        <v>33</v>
      </c>
      <c r="G240" s="175"/>
      <c r="H240" s="175"/>
      <c r="K240" s="171" t="s">
        <v>2</v>
      </c>
      <c r="L240" s="171"/>
      <c r="M240" s="168" t="s">
        <v>77</v>
      </c>
      <c r="N240" s="168"/>
      <c r="O240" s="168"/>
      <c r="P240" s="168"/>
      <c r="T240" s="75"/>
      <c r="U240" s="76"/>
      <c r="V240" s="76"/>
      <c r="W240" s="76"/>
    </row>
    <row r="241" spans="1:23" s="3" customFormat="1" ht="21" customHeight="1">
      <c r="A241" s="169" t="s">
        <v>5</v>
      </c>
      <c r="B241" s="56"/>
      <c r="C241" s="56"/>
      <c r="D241" s="189" t="s">
        <v>3</v>
      </c>
      <c r="E241" s="189"/>
      <c r="F241" s="7">
        <v>2</v>
      </c>
      <c r="G241" s="72"/>
      <c r="H241" s="2"/>
      <c r="I241" s="2"/>
      <c r="J241" s="2"/>
      <c r="K241" s="189" t="s">
        <v>4</v>
      </c>
      <c r="L241" s="189"/>
      <c r="M241" s="185" t="s">
        <v>61</v>
      </c>
      <c r="N241" s="185"/>
      <c r="O241" s="185"/>
      <c r="P241" s="185"/>
      <c r="Q241" s="185"/>
      <c r="R241" s="185"/>
      <c r="S241" s="185"/>
      <c r="T241" s="75"/>
      <c r="U241" s="76"/>
      <c r="V241" s="76"/>
      <c r="W241" s="76"/>
    </row>
    <row r="242" spans="1:23" s="3" customFormat="1" ht="22.5" customHeight="1">
      <c r="A242" s="170"/>
      <c r="B242" s="187" t="s">
        <v>6</v>
      </c>
      <c r="C242" s="188"/>
      <c r="D242" s="169" t="s">
        <v>7</v>
      </c>
      <c r="E242" s="165" t="s">
        <v>8</v>
      </c>
      <c r="F242" s="166"/>
      <c r="G242" s="167"/>
      <c r="H242" s="169" t="s">
        <v>9</v>
      </c>
      <c r="I242" s="165" t="s">
        <v>10</v>
      </c>
      <c r="J242" s="166"/>
      <c r="K242" s="166"/>
      <c r="L242" s="166"/>
      <c r="M242" s="167"/>
      <c r="N242" s="165" t="s">
        <v>11</v>
      </c>
      <c r="O242" s="166"/>
      <c r="P242" s="166"/>
      <c r="Q242" s="166"/>
      <c r="R242" s="166"/>
      <c r="S242" s="167"/>
      <c r="T242" s="75"/>
      <c r="U242" s="76"/>
      <c r="V242" s="76"/>
      <c r="W242" s="76"/>
    </row>
    <row r="243" spans="1:23" s="72" customFormat="1" ht="11.25">
      <c r="A243" s="114">
        <v>1</v>
      </c>
      <c r="B243" s="172"/>
      <c r="C243" s="173"/>
      <c r="D243" s="170"/>
      <c r="E243" s="103" t="s">
        <v>12</v>
      </c>
      <c r="F243" s="117" t="s">
        <v>13</v>
      </c>
      <c r="G243" s="117" t="s">
        <v>14</v>
      </c>
      <c r="H243" s="170"/>
      <c r="I243" s="117" t="s">
        <v>15</v>
      </c>
      <c r="J243" s="117" t="s">
        <v>62</v>
      </c>
      <c r="K243" s="117" t="s">
        <v>16</v>
      </c>
      <c r="L243" s="117" t="s">
        <v>17</v>
      </c>
      <c r="M243" s="117" t="s">
        <v>18</v>
      </c>
      <c r="N243" s="117" t="s">
        <v>19</v>
      </c>
      <c r="O243" s="117" t="s">
        <v>20</v>
      </c>
      <c r="P243" s="117" t="s">
        <v>63</v>
      </c>
      <c r="Q243" s="117" t="s">
        <v>64</v>
      </c>
      <c r="R243" s="117" t="s">
        <v>21</v>
      </c>
      <c r="S243" s="117" t="s">
        <v>22</v>
      </c>
      <c r="T243" s="75"/>
      <c r="U243" s="76"/>
      <c r="V243" s="76"/>
      <c r="W243" s="76"/>
    </row>
    <row r="244" spans="1:23" s="3" customFormat="1" ht="11.25" customHeight="1">
      <c r="A244" s="133" t="s">
        <v>26</v>
      </c>
      <c r="B244" s="157">
        <v>2</v>
      </c>
      <c r="C244" s="158"/>
      <c r="D244" s="36">
        <v>3</v>
      </c>
      <c r="E244" s="36">
        <v>4</v>
      </c>
      <c r="F244" s="36">
        <v>5</v>
      </c>
      <c r="G244" s="36">
        <v>6</v>
      </c>
      <c r="H244" s="36">
        <v>7</v>
      </c>
      <c r="I244" s="36">
        <v>8</v>
      </c>
      <c r="J244" s="36">
        <v>9</v>
      </c>
      <c r="K244" s="36">
        <v>10</v>
      </c>
      <c r="L244" s="36">
        <v>11</v>
      </c>
      <c r="M244" s="36">
        <v>12</v>
      </c>
      <c r="N244" s="36">
        <v>13</v>
      </c>
      <c r="O244" s="36">
        <v>14</v>
      </c>
      <c r="P244" s="36">
        <v>15</v>
      </c>
      <c r="Q244" s="36">
        <v>16</v>
      </c>
      <c r="R244" s="36">
        <v>17</v>
      </c>
      <c r="S244" s="36">
        <v>18</v>
      </c>
      <c r="T244" s="75"/>
      <c r="U244" s="76"/>
      <c r="V244" s="76"/>
      <c r="W244" s="76"/>
    </row>
    <row r="245" spans="1:23" s="3" customFormat="1" ht="11.25" customHeight="1">
      <c r="A245" s="67">
        <v>338</v>
      </c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5"/>
      <c r="T245" s="75"/>
      <c r="U245" s="76"/>
      <c r="V245" s="76"/>
      <c r="W245" s="76"/>
    </row>
    <row r="246" spans="1:23" s="3" customFormat="1" ht="11.25" customHeight="1">
      <c r="A246" s="114"/>
      <c r="B246" s="148" t="s">
        <v>82</v>
      </c>
      <c r="C246" s="149"/>
      <c r="D246" s="71">
        <v>100</v>
      </c>
      <c r="E246" s="73">
        <f>D246*0.2/50</f>
        <v>0.4</v>
      </c>
      <c r="F246" s="69">
        <f>D246*0.15/50</f>
        <v>0.3</v>
      </c>
      <c r="G246" s="70">
        <f>D246*5.15/50</f>
        <v>10.3</v>
      </c>
      <c r="H246" s="70">
        <f>E246*4+F246*9+G246*4</f>
        <v>45.5</v>
      </c>
      <c r="I246" s="73">
        <f>D246*0.02/50</f>
        <v>0.04</v>
      </c>
      <c r="J246" s="73">
        <f>D246*0.01/50</f>
        <v>0.02</v>
      </c>
      <c r="K246" s="73">
        <f>D246*2.5/50</f>
        <v>5</v>
      </c>
      <c r="L246" s="73">
        <v>0.005</v>
      </c>
      <c r="M246" s="69">
        <f>D246*0.1/50</f>
        <v>0.2</v>
      </c>
      <c r="N246" s="73">
        <f>D246*9.5/50</f>
        <v>19</v>
      </c>
      <c r="O246" s="73">
        <f>D246*5.5/50</f>
        <v>11</v>
      </c>
      <c r="P246" s="74">
        <f>D246*0.015/50</f>
        <v>0.03</v>
      </c>
      <c r="Q246" s="73">
        <v>0.002</v>
      </c>
      <c r="R246" s="73">
        <f>D246*6/50</f>
        <v>12</v>
      </c>
      <c r="S246" s="73">
        <f>D246*1.15/50</f>
        <v>2.3</v>
      </c>
      <c r="T246" s="37"/>
      <c r="U246" s="40"/>
      <c r="V246" s="40"/>
      <c r="W246" s="40"/>
    </row>
    <row r="247" spans="1:23" s="3" customFormat="1" ht="11.25" customHeight="1">
      <c r="A247" s="114">
        <v>223</v>
      </c>
      <c r="B247" s="148" t="s">
        <v>41</v>
      </c>
      <c r="C247" s="149"/>
      <c r="D247" s="71">
        <v>30</v>
      </c>
      <c r="E247" s="73">
        <v>1.5</v>
      </c>
      <c r="F247" s="73"/>
      <c r="G247" s="73">
        <v>11.4</v>
      </c>
      <c r="H247" s="73">
        <f>E247*4+F247*9+G247*4</f>
        <v>51.6</v>
      </c>
      <c r="I247" s="69">
        <v>0.01</v>
      </c>
      <c r="J247" s="69">
        <v>0.08</v>
      </c>
      <c r="K247" s="73">
        <v>0.2</v>
      </c>
      <c r="L247" s="69">
        <v>0.01</v>
      </c>
      <c r="M247" s="69">
        <v>0.04</v>
      </c>
      <c r="N247" s="69">
        <v>61.4</v>
      </c>
      <c r="O247" s="69">
        <v>43.8</v>
      </c>
      <c r="P247" s="69">
        <v>0.2</v>
      </c>
      <c r="Q247" s="69">
        <v>0.001</v>
      </c>
      <c r="R247" s="69">
        <v>6.8</v>
      </c>
      <c r="S247" s="69">
        <v>0.04</v>
      </c>
      <c r="T247" s="11"/>
      <c r="U247" s="24"/>
      <c r="V247" s="24"/>
      <c r="W247" s="24"/>
    </row>
    <row r="248" spans="1:23" s="72" customFormat="1" ht="17.25" customHeight="1">
      <c r="A248" s="143">
        <v>389</v>
      </c>
      <c r="B248" s="148" t="s">
        <v>118</v>
      </c>
      <c r="C248" s="149"/>
      <c r="D248" s="71">
        <v>170</v>
      </c>
      <c r="E248" s="73">
        <f>15.23*D248/170</f>
        <v>15.229999999999999</v>
      </c>
      <c r="F248" s="73">
        <f>17.48*D248/170</f>
        <v>17.48</v>
      </c>
      <c r="G248" s="73">
        <f>36.71*D248/170</f>
        <v>36.71</v>
      </c>
      <c r="H248" s="73">
        <f>E248*4+F248*9+G248*4</f>
        <v>365.08</v>
      </c>
      <c r="I248" s="73">
        <f>D248*0.11/200</f>
        <v>0.0935</v>
      </c>
      <c r="J248" s="73">
        <f>D248*0.39/200</f>
        <v>0.33149999999999996</v>
      </c>
      <c r="K248" s="73">
        <f>D248*0.56/200</f>
        <v>0.47600000000000003</v>
      </c>
      <c r="L248" s="73">
        <f>D248*0.26/200</f>
        <v>0.221</v>
      </c>
      <c r="M248" s="73">
        <v>1.8</v>
      </c>
      <c r="N248" s="73">
        <f>D248*169.02/200</f>
        <v>143.667</v>
      </c>
      <c r="O248" s="70">
        <f>D248*341.85/200</f>
        <v>290.57250000000005</v>
      </c>
      <c r="P248" s="70">
        <v>2.2</v>
      </c>
      <c r="Q248" s="74">
        <v>0.008</v>
      </c>
      <c r="R248" s="73">
        <f>D248*57.07/200</f>
        <v>48.509499999999996</v>
      </c>
      <c r="S248" s="73">
        <f>D248*1.54/200</f>
        <v>1.3090000000000002</v>
      </c>
      <c r="T248" s="11"/>
      <c r="U248" s="24"/>
      <c r="V248" s="24"/>
      <c r="W248" s="24"/>
    </row>
    <row r="249" spans="1:23" s="72" customFormat="1" ht="18" customHeight="1">
      <c r="A249" s="79" t="s">
        <v>81</v>
      </c>
      <c r="B249" s="148" t="s">
        <v>127</v>
      </c>
      <c r="C249" s="149"/>
      <c r="D249" s="71">
        <v>200</v>
      </c>
      <c r="E249" s="73">
        <v>3.2</v>
      </c>
      <c r="F249" s="73">
        <v>2.5</v>
      </c>
      <c r="G249" s="73">
        <v>16</v>
      </c>
      <c r="H249" s="73">
        <v>99</v>
      </c>
      <c r="I249" s="69">
        <v>0.03</v>
      </c>
      <c r="J249" s="69">
        <v>0</v>
      </c>
      <c r="K249" s="70">
        <v>0.2</v>
      </c>
      <c r="L249" s="69">
        <v>0.6</v>
      </c>
      <c r="M249" s="69">
        <v>0</v>
      </c>
      <c r="N249" s="70">
        <v>119</v>
      </c>
      <c r="O249" s="70">
        <v>91</v>
      </c>
      <c r="P249" s="70">
        <v>0</v>
      </c>
      <c r="Q249" s="70">
        <v>0</v>
      </c>
      <c r="R249" s="70">
        <v>14</v>
      </c>
      <c r="S249" s="73">
        <v>0.1</v>
      </c>
      <c r="T249" s="11"/>
      <c r="U249" s="24"/>
      <c r="V249" s="24"/>
      <c r="W249" s="24"/>
    </row>
    <row r="250" spans="1:23" s="3" customFormat="1" ht="15" customHeight="1">
      <c r="A250" s="64" t="s">
        <v>27</v>
      </c>
      <c r="B250" s="148" t="s">
        <v>126</v>
      </c>
      <c r="C250" s="149"/>
      <c r="D250" s="71">
        <v>50</v>
      </c>
      <c r="E250" s="73">
        <v>7.1</v>
      </c>
      <c r="F250" s="74">
        <v>5.8</v>
      </c>
      <c r="G250" s="74">
        <v>9.6</v>
      </c>
      <c r="H250" s="74">
        <v>108</v>
      </c>
      <c r="I250" s="74">
        <v>0.08</v>
      </c>
      <c r="J250" s="74">
        <v>0</v>
      </c>
      <c r="K250" s="74">
        <v>2.6</v>
      </c>
      <c r="L250" s="74">
        <v>0.02</v>
      </c>
      <c r="M250" s="74">
        <v>0</v>
      </c>
      <c r="N250" s="74">
        <v>26.73</v>
      </c>
      <c r="O250" s="74">
        <v>0</v>
      </c>
      <c r="P250" s="74">
        <v>0</v>
      </c>
      <c r="Q250" s="74">
        <v>0</v>
      </c>
      <c r="R250" s="74">
        <v>0</v>
      </c>
      <c r="S250" s="74">
        <v>0.75</v>
      </c>
      <c r="T250" s="75"/>
      <c r="U250" s="76"/>
      <c r="V250" s="76"/>
      <c r="W250" s="76"/>
    </row>
    <row r="251" spans="1:23" s="3" customFormat="1" ht="11.25" customHeight="1">
      <c r="A251" s="144" t="s">
        <v>28</v>
      </c>
      <c r="B251" s="65"/>
      <c r="C251" s="65"/>
      <c r="D251" s="66">
        <f>SUM(D246:D250)</f>
        <v>550</v>
      </c>
      <c r="E251" s="38">
        <f aca="true" t="shared" si="44" ref="E251:S251">SUM(E246:E250)</f>
        <v>27.43</v>
      </c>
      <c r="F251" s="38">
        <f t="shared" si="44"/>
        <v>26.080000000000002</v>
      </c>
      <c r="G251" s="38">
        <f t="shared" si="44"/>
        <v>84.00999999999999</v>
      </c>
      <c r="H251" s="38">
        <f t="shared" si="44"/>
        <v>669.18</v>
      </c>
      <c r="I251" s="38">
        <f t="shared" si="44"/>
        <v>0.2535</v>
      </c>
      <c r="J251" s="38">
        <f t="shared" si="44"/>
        <v>0.4315</v>
      </c>
      <c r="K251" s="38">
        <f t="shared" si="44"/>
        <v>8.476</v>
      </c>
      <c r="L251" s="38">
        <f t="shared" si="44"/>
        <v>0.856</v>
      </c>
      <c r="M251" s="38">
        <f t="shared" si="44"/>
        <v>2.04</v>
      </c>
      <c r="N251" s="38">
        <f t="shared" si="44"/>
        <v>369.797</v>
      </c>
      <c r="O251" s="38">
        <f t="shared" si="44"/>
        <v>436.37250000000006</v>
      </c>
      <c r="P251" s="38">
        <f t="shared" si="44"/>
        <v>2.43</v>
      </c>
      <c r="Q251" s="38">
        <f t="shared" si="44"/>
        <v>0.011</v>
      </c>
      <c r="R251" s="38">
        <f t="shared" si="44"/>
        <v>81.3095</v>
      </c>
      <c r="S251" s="38">
        <f t="shared" si="44"/>
        <v>4.4990000000000006</v>
      </c>
      <c r="T251" s="30"/>
      <c r="U251" s="31"/>
      <c r="V251" s="31"/>
      <c r="W251" s="31"/>
    </row>
    <row r="252" spans="1:23" s="3" customFormat="1" ht="11.25" customHeight="1">
      <c r="A252" s="114">
        <v>45</v>
      </c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6"/>
      <c r="T252" s="37"/>
      <c r="U252" s="40"/>
      <c r="V252" s="40"/>
      <c r="W252" s="40"/>
    </row>
    <row r="253" spans="1:23" s="3" customFormat="1" ht="11.25" customHeight="1">
      <c r="A253" s="143">
        <v>106</v>
      </c>
      <c r="B253" s="147" t="s">
        <v>119</v>
      </c>
      <c r="C253" s="147"/>
      <c r="D253" s="71">
        <v>60</v>
      </c>
      <c r="E253" s="73">
        <f>0.9*D253/60</f>
        <v>0.9</v>
      </c>
      <c r="F253" s="73">
        <f>1.31*D253/60</f>
        <v>1.31</v>
      </c>
      <c r="G253" s="73">
        <f>5.6*D253/60</f>
        <v>5.6</v>
      </c>
      <c r="H253" s="73">
        <f>E253*4+F253*9+G253*4</f>
        <v>37.79</v>
      </c>
      <c r="I253" s="73">
        <f>0.06*D253/60</f>
        <v>0.05999999999999999</v>
      </c>
      <c r="J253" s="73">
        <f>0.07*D253/60</f>
        <v>0.07</v>
      </c>
      <c r="K253" s="73">
        <f>15.5*D253/60</f>
        <v>15.5</v>
      </c>
      <c r="L253" s="74">
        <f>0.071*D253/60</f>
        <v>0.071</v>
      </c>
      <c r="M253" s="73">
        <f>0.3*D253/60</f>
        <v>0.3</v>
      </c>
      <c r="N253" s="73">
        <f>28.2*D253/60</f>
        <v>28.2</v>
      </c>
      <c r="O253" s="73">
        <f>18.9*D253/60</f>
        <v>18.9</v>
      </c>
      <c r="P253" s="73">
        <f>0.2*D253/60</f>
        <v>0.2</v>
      </c>
      <c r="Q253" s="74">
        <f>0.001*D253/60</f>
        <v>0.001</v>
      </c>
      <c r="R253" s="73">
        <f>10.5*D253/60</f>
        <v>10.5</v>
      </c>
      <c r="S253" s="73">
        <f>0.6*D253/60</f>
        <v>0.6</v>
      </c>
      <c r="T253" s="11"/>
      <c r="U253" s="24"/>
      <c r="V253" s="24"/>
      <c r="W253" s="24"/>
    </row>
    <row r="254" spans="1:23" s="3" customFormat="1" ht="11.25">
      <c r="A254" s="114">
        <v>259</v>
      </c>
      <c r="B254" s="181" t="s">
        <v>128</v>
      </c>
      <c r="C254" s="182"/>
      <c r="D254" s="69">
        <v>200</v>
      </c>
      <c r="E254" s="73">
        <v>6.89</v>
      </c>
      <c r="F254" s="73">
        <v>6.72</v>
      </c>
      <c r="G254" s="73">
        <v>11.47</v>
      </c>
      <c r="H254" s="73">
        <v>133.8</v>
      </c>
      <c r="I254" s="73">
        <v>0.08</v>
      </c>
      <c r="J254" s="73">
        <v>0</v>
      </c>
      <c r="K254" s="73">
        <v>7.29</v>
      </c>
      <c r="L254" s="73">
        <v>12</v>
      </c>
      <c r="M254" s="73">
        <v>0</v>
      </c>
      <c r="N254" s="73">
        <v>36.24</v>
      </c>
      <c r="O254" s="73">
        <v>141.22</v>
      </c>
      <c r="P254" s="73">
        <v>0</v>
      </c>
      <c r="Q254" s="73">
        <v>0</v>
      </c>
      <c r="R254" s="73">
        <v>37.88</v>
      </c>
      <c r="S254" s="73">
        <v>1.01</v>
      </c>
      <c r="T254" s="75"/>
      <c r="U254" s="76"/>
      <c r="V254" s="76"/>
      <c r="W254" s="76"/>
    </row>
    <row r="255" spans="1:23" s="1" customFormat="1" ht="11.25" customHeight="1">
      <c r="A255" s="129"/>
      <c r="B255" s="148" t="s">
        <v>55</v>
      </c>
      <c r="C255" s="149"/>
      <c r="D255" s="71">
        <v>240</v>
      </c>
      <c r="E255" s="73">
        <f>D255*14.27/200</f>
        <v>17.124</v>
      </c>
      <c r="F255" s="73">
        <f>D255*15.01/200</f>
        <v>18.012</v>
      </c>
      <c r="G255" s="73">
        <f>D255*25.51/200</f>
        <v>30.612000000000002</v>
      </c>
      <c r="H255" s="73">
        <f>E255*4+F255*9+G255*4</f>
        <v>353.052</v>
      </c>
      <c r="I255" s="73">
        <f>D255*0.22/200</f>
        <v>0.264</v>
      </c>
      <c r="J255" s="73">
        <f>D255*0.2/200</f>
        <v>0.24</v>
      </c>
      <c r="K255" s="73">
        <f>D255*31.3/200</f>
        <v>37.56</v>
      </c>
      <c r="L255" s="74">
        <v>0.07</v>
      </c>
      <c r="M255" s="69">
        <v>0.42</v>
      </c>
      <c r="N255" s="73">
        <f>D255*42.2/200</f>
        <v>50.64</v>
      </c>
      <c r="O255" s="70">
        <f>D255*218.18/200</f>
        <v>261.81600000000003</v>
      </c>
      <c r="P255" s="70">
        <v>4.2</v>
      </c>
      <c r="Q255" s="74">
        <v>0.0017</v>
      </c>
      <c r="R255" s="73">
        <f>D255*55.87/200</f>
        <v>67.044</v>
      </c>
      <c r="S255" s="73">
        <f>D255*3.32/200</f>
        <v>3.984</v>
      </c>
      <c r="T255" s="15"/>
      <c r="U255" s="21"/>
      <c r="V255" s="21"/>
      <c r="W255" s="21"/>
    </row>
    <row r="256" spans="1:23" s="1" customFormat="1" ht="21.75" customHeight="1">
      <c r="A256" s="80" t="s">
        <v>81</v>
      </c>
      <c r="B256" s="148" t="s">
        <v>129</v>
      </c>
      <c r="C256" s="149"/>
      <c r="D256" s="71"/>
      <c r="E256" s="73"/>
      <c r="F256" s="73"/>
      <c r="G256" s="73"/>
      <c r="H256" s="73"/>
      <c r="I256" s="69"/>
      <c r="J256" s="69"/>
      <c r="K256" s="70"/>
      <c r="L256" s="69"/>
      <c r="M256" s="69"/>
      <c r="N256" s="70"/>
      <c r="O256" s="70"/>
      <c r="P256" s="70"/>
      <c r="Q256" s="70"/>
      <c r="R256" s="70"/>
      <c r="S256" s="73"/>
      <c r="T256" s="9"/>
      <c r="U256" s="22"/>
      <c r="V256" s="22"/>
      <c r="W256" s="22"/>
    </row>
    <row r="257" spans="1:23" s="1" customFormat="1" ht="21" customHeight="1">
      <c r="A257" s="62" t="s">
        <v>29</v>
      </c>
      <c r="B257" s="148" t="s">
        <v>46</v>
      </c>
      <c r="C257" s="149"/>
      <c r="D257" s="71">
        <v>40</v>
      </c>
      <c r="E257" s="73">
        <f>2.64*D257/40</f>
        <v>2.64</v>
      </c>
      <c r="F257" s="73">
        <f>0.48*D257/40</f>
        <v>0.48</v>
      </c>
      <c r="G257" s="73">
        <f>13.68*D257/40</f>
        <v>13.680000000000001</v>
      </c>
      <c r="H257" s="70">
        <f>E257*4+F257*9+G257*4</f>
        <v>69.60000000000001</v>
      </c>
      <c r="I257" s="69">
        <f>0.08*D257/40</f>
        <v>0.08</v>
      </c>
      <c r="J257" s="73">
        <f>0.04*D257/40</f>
        <v>0.04</v>
      </c>
      <c r="K257" s="71">
        <v>0</v>
      </c>
      <c r="L257" s="71">
        <v>0</v>
      </c>
      <c r="M257" s="73">
        <f>2.4*D257/40</f>
        <v>2.4</v>
      </c>
      <c r="N257" s="73">
        <f>14*D257/40</f>
        <v>14</v>
      </c>
      <c r="O257" s="73">
        <f>63.2*D257/40</f>
        <v>63.2</v>
      </c>
      <c r="P257" s="73">
        <f>1.2*D257/40</f>
        <v>1.2</v>
      </c>
      <c r="Q257" s="74">
        <f>0.001*D257/40</f>
        <v>0.001</v>
      </c>
      <c r="R257" s="73">
        <f>9.4*D257/40</f>
        <v>9.4</v>
      </c>
      <c r="S257" s="69">
        <f>0.78*D257/40</f>
        <v>0.78</v>
      </c>
      <c r="T257" s="9"/>
      <c r="U257" s="22"/>
      <c r="V257" s="22"/>
      <c r="W257" s="22"/>
    </row>
    <row r="258" spans="1:23" s="1" customFormat="1" ht="11.25" customHeight="1">
      <c r="A258" s="133"/>
      <c r="B258" s="63"/>
      <c r="C258" s="63"/>
      <c r="D258" s="110">
        <f>SUM(D253:D257)</f>
        <v>540</v>
      </c>
      <c r="E258" s="38">
        <f>SUM(E253:E257)</f>
        <v>27.554</v>
      </c>
      <c r="F258" s="37">
        <f>SUM(F253:F257)</f>
        <v>26.522000000000002</v>
      </c>
      <c r="G258" s="37">
        <f>SUM(G253:G257)</f>
        <v>61.362</v>
      </c>
      <c r="H258" s="37">
        <f>SUM(H253:H257)</f>
        <v>594.2420000000001</v>
      </c>
      <c r="I258" s="38">
        <f aca="true" t="shared" si="45" ref="I258:S258">SUM(I253:I257)</f>
        <v>0.48400000000000004</v>
      </c>
      <c r="J258" s="38">
        <f t="shared" si="45"/>
        <v>0.35</v>
      </c>
      <c r="K258" s="37">
        <f t="shared" si="45"/>
        <v>60.35</v>
      </c>
      <c r="L258" s="38">
        <f t="shared" si="45"/>
        <v>12.141</v>
      </c>
      <c r="M258" s="39">
        <f t="shared" si="45"/>
        <v>3.12</v>
      </c>
      <c r="N258" s="38">
        <f t="shared" si="45"/>
        <v>129.07999999999998</v>
      </c>
      <c r="O258" s="37">
        <f t="shared" si="45"/>
        <v>485.136</v>
      </c>
      <c r="P258" s="38">
        <f t="shared" si="45"/>
        <v>5.6000000000000005</v>
      </c>
      <c r="Q258" s="38">
        <f t="shared" si="45"/>
        <v>0.0037</v>
      </c>
      <c r="R258" s="38">
        <f t="shared" si="45"/>
        <v>124.82400000000001</v>
      </c>
      <c r="S258" s="38">
        <f t="shared" si="45"/>
        <v>6.374</v>
      </c>
      <c r="T258" s="10"/>
      <c r="U258" s="23"/>
      <c r="V258" s="23"/>
      <c r="W258" s="23"/>
    </row>
    <row r="259" spans="1:23" s="1" customFormat="1" ht="11.25" customHeight="1">
      <c r="A259" s="56" t="s">
        <v>103</v>
      </c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5"/>
      <c r="T259" s="11"/>
      <c r="U259" s="24"/>
      <c r="V259" s="24"/>
      <c r="W259" s="24"/>
    </row>
    <row r="260" spans="1:23" s="1" customFormat="1" ht="11.25" customHeight="1">
      <c r="A260" s="56"/>
      <c r="B260" s="56"/>
      <c r="C260" s="115"/>
      <c r="D260" s="115"/>
      <c r="E260" s="105"/>
      <c r="F260" s="72"/>
      <c r="G260" s="2"/>
      <c r="H260" s="2"/>
      <c r="I260" s="72"/>
      <c r="J260" s="72"/>
      <c r="K260" s="72"/>
      <c r="L260" s="174" t="s">
        <v>80</v>
      </c>
      <c r="M260" s="174"/>
      <c r="N260" s="174"/>
      <c r="O260" s="174"/>
      <c r="P260" s="174"/>
      <c r="Q260" s="174"/>
      <c r="R260" s="174"/>
      <c r="S260" s="174"/>
      <c r="T260" s="11"/>
      <c r="U260" s="24"/>
      <c r="V260" s="24"/>
      <c r="W260" s="24"/>
    </row>
    <row r="261" spans="1:23" s="3" customFormat="1" ht="15" customHeight="1">
      <c r="A261" s="142" t="s">
        <v>42</v>
      </c>
      <c r="B261" s="56"/>
      <c r="C261" s="115"/>
      <c r="D261" s="115"/>
      <c r="E261" s="105"/>
      <c r="F261" s="72"/>
      <c r="G261" s="2"/>
      <c r="H261" s="2"/>
      <c r="I261" s="72"/>
      <c r="J261" s="72"/>
      <c r="K261" s="72"/>
      <c r="L261" s="116"/>
      <c r="M261" s="116"/>
      <c r="N261" s="116"/>
      <c r="O261" s="116"/>
      <c r="P261" s="116"/>
      <c r="Q261" s="116"/>
      <c r="R261" s="116"/>
      <c r="S261" s="116"/>
      <c r="T261" s="75"/>
      <c r="U261" s="76"/>
      <c r="V261" s="76"/>
      <c r="W261" s="76"/>
    </row>
    <row r="262" spans="1:23" s="3" customFormat="1" ht="12.75" customHeight="1">
      <c r="A262" s="60" t="s">
        <v>59</v>
      </c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5"/>
      <c r="U262" s="76"/>
      <c r="V262" s="76"/>
      <c r="W262" s="76"/>
    </row>
    <row r="263" spans="1:23" s="72" customFormat="1" ht="11.25">
      <c r="A263" s="56"/>
      <c r="B263" s="56"/>
      <c r="C263" s="56"/>
      <c r="D263" s="2"/>
      <c r="E263" s="35"/>
      <c r="F263" s="175" t="s">
        <v>35</v>
      </c>
      <c r="G263" s="175"/>
      <c r="H263" s="175"/>
      <c r="K263" s="171" t="s">
        <v>2</v>
      </c>
      <c r="L263" s="171"/>
      <c r="M263" s="168" t="s">
        <v>77</v>
      </c>
      <c r="N263" s="168"/>
      <c r="O263" s="168"/>
      <c r="P263" s="168"/>
      <c r="T263" s="75"/>
      <c r="U263" s="76"/>
      <c r="V263" s="76"/>
      <c r="W263" s="76"/>
    </row>
    <row r="264" spans="1:23" s="3" customFormat="1" ht="11.25" customHeight="1">
      <c r="A264" s="169" t="s">
        <v>5</v>
      </c>
      <c r="B264" s="56"/>
      <c r="C264" s="56"/>
      <c r="D264" s="189" t="s">
        <v>3</v>
      </c>
      <c r="E264" s="189"/>
      <c r="F264" s="7">
        <v>2</v>
      </c>
      <c r="G264" s="72"/>
      <c r="H264" s="2"/>
      <c r="I264" s="2"/>
      <c r="J264" s="2"/>
      <c r="K264" s="189" t="s">
        <v>4</v>
      </c>
      <c r="L264" s="189"/>
      <c r="M264" s="185" t="s">
        <v>61</v>
      </c>
      <c r="N264" s="185"/>
      <c r="O264" s="185"/>
      <c r="P264" s="185"/>
      <c r="Q264" s="185"/>
      <c r="R264" s="185"/>
      <c r="S264" s="185"/>
      <c r="T264" s="37"/>
      <c r="U264" s="40"/>
      <c r="V264" s="40"/>
      <c r="W264" s="40"/>
    </row>
    <row r="265" spans="1:23" s="3" customFormat="1" ht="11.25" customHeight="1">
      <c r="A265" s="170"/>
      <c r="B265" s="187" t="s">
        <v>6</v>
      </c>
      <c r="C265" s="188"/>
      <c r="D265" s="169" t="s">
        <v>7</v>
      </c>
      <c r="E265" s="165" t="s">
        <v>8</v>
      </c>
      <c r="F265" s="166"/>
      <c r="G265" s="167"/>
      <c r="H265" s="169" t="s">
        <v>9</v>
      </c>
      <c r="I265" s="165" t="s">
        <v>10</v>
      </c>
      <c r="J265" s="166"/>
      <c r="K265" s="166"/>
      <c r="L265" s="166"/>
      <c r="M265" s="167"/>
      <c r="N265" s="165" t="s">
        <v>11</v>
      </c>
      <c r="O265" s="166"/>
      <c r="P265" s="166"/>
      <c r="Q265" s="166"/>
      <c r="R265" s="166"/>
      <c r="S265" s="167"/>
      <c r="T265" s="11"/>
      <c r="U265" s="24"/>
      <c r="V265" s="24"/>
      <c r="W265" s="24"/>
    </row>
    <row r="266" spans="1:23" s="72" customFormat="1" ht="11.25" customHeight="1">
      <c r="A266" s="114">
        <v>1</v>
      </c>
      <c r="B266" s="172"/>
      <c r="C266" s="173"/>
      <c r="D266" s="170"/>
      <c r="E266" s="103" t="s">
        <v>12</v>
      </c>
      <c r="F266" s="117" t="s">
        <v>13</v>
      </c>
      <c r="G266" s="117" t="s">
        <v>14</v>
      </c>
      <c r="H266" s="170"/>
      <c r="I266" s="117" t="s">
        <v>15</v>
      </c>
      <c r="J266" s="117" t="s">
        <v>62</v>
      </c>
      <c r="K266" s="117" t="s">
        <v>16</v>
      </c>
      <c r="L266" s="117" t="s">
        <v>17</v>
      </c>
      <c r="M266" s="117" t="s">
        <v>18</v>
      </c>
      <c r="N266" s="117" t="s">
        <v>19</v>
      </c>
      <c r="O266" s="117" t="s">
        <v>20</v>
      </c>
      <c r="P266" s="117" t="s">
        <v>63</v>
      </c>
      <c r="Q266" s="117" t="s">
        <v>65</v>
      </c>
      <c r="R266" s="117" t="s">
        <v>21</v>
      </c>
      <c r="S266" s="117" t="s">
        <v>22</v>
      </c>
      <c r="T266" s="11"/>
      <c r="U266" s="24"/>
      <c r="V266" s="24"/>
      <c r="W266" s="24"/>
    </row>
    <row r="267" spans="1:23" s="3" customFormat="1" ht="22.5" customHeight="1">
      <c r="A267" s="133"/>
      <c r="B267" s="157">
        <v>2</v>
      </c>
      <c r="C267" s="158"/>
      <c r="D267" s="36">
        <v>3</v>
      </c>
      <c r="E267" s="104">
        <v>4</v>
      </c>
      <c r="F267" s="36">
        <v>5</v>
      </c>
      <c r="G267" s="36">
        <v>6</v>
      </c>
      <c r="H267" s="36">
        <v>7</v>
      </c>
      <c r="I267" s="36">
        <v>8</v>
      </c>
      <c r="J267" s="36">
        <v>9</v>
      </c>
      <c r="K267" s="36">
        <v>10</v>
      </c>
      <c r="L267" s="36">
        <v>11</v>
      </c>
      <c r="M267" s="36">
        <v>12</v>
      </c>
      <c r="N267" s="36">
        <v>13</v>
      </c>
      <c r="O267" s="36">
        <v>14</v>
      </c>
      <c r="P267" s="36">
        <v>15</v>
      </c>
      <c r="Q267" s="36">
        <v>16</v>
      </c>
      <c r="R267" s="36">
        <v>17</v>
      </c>
      <c r="S267" s="36">
        <v>18</v>
      </c>
      <c r="T267" s="75"/>
      <c r="U267" s="76"/>
      <c r="V267" s="76"/>
      <c r="W267" s="76"/>
    </row>
    <row r="268" spans="1:23" s="3" customFormat="1" ht="22.5" customHeight="1">
      <c r="A268" s="114">
        <v>279</v>
      </c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5"/>
      <c r="T268" s="75"/>
      <c r="U268" s="76"/>
      <c r="V268" s="76"/>
      <c r="W268" s="76"/>
    </row>
    <row r="269" spans="1:23" s="3" customFormat="1" ht="12.75" customHeight="1">
      <c r="A269" s="119">
        <v>338</v>
      </c>
      <c r="B269" s="148" t="s">
        <v>120</v>
      </c>
      <c r="C269" s="149"/>
      <c r="D269" s="69" t="s">
        <v>66</v>
      </c>
      <c r="E269" s="73">
        <v>11.73</v>
      </c>
      <c r="F269" s="73">
        <v>14.08</v>
      </c>
      <c r="G269" s="73">
        <v>14.94</v>
      </c>
      <c r="H269" s="70">
        <f>E269*4+F269*9+G269*4</f>
        <v>233.39999999999998</v>
      </c>
      <c r="I269" s="69">
        <v>0.16</v>
      </c>
      <c r="J269" s="69">
        <v>0.13</v>
      </c>
      <c r="K269" s="73">
        <v>0.31</v>
      </c>
      <c r="L269" s="74">
        <v>0.009</v>
      </c>
      <c r="M269" s="73">
        <v>0.01</v>
      </c>
      <c r="N269" s="73">
        <v>12.65</v>
      </c>
      <c r="O269" s="73">
        <v>138.55</v>
      </c>
      <c r="P269" s="73">
        <v>1.99</v>
      </c>
      <c r="Q269" s="74">
        <v>0.03</v>
      </c>
      <c r="R269" s="73">
        <v>20.29</v>
      </c>
      <c r="S269" s="73">
        <v>1.73</v>
      </c>
      <c r="T269" s="75"/>
      <c r="U269" s="76"/>
      <c r="V269" s="76"/>
      <c r="W269" s="76"/>
    </row>
    <row r="270" spans="1:23" s="3" customFormat="1" ht="11.25" customHeight="1">
      <c r="A270" s="114">
        <v>382</v>
      </c>
      <c r="B270" s="147" t="s">
        <v>74</v>
      </c>
      <c r="C270" s="147"/>
      <c r="D270" s="71">
        <v>100</v>
      </c>
      <c r="E270" s="73">
        <v>0.4</v>
      </c>
      <c r="F270" s="69">
        <v>0.4</v>
      </c>
      <c r="G270" s="70">
        <v>9.8</v>
      </c>
      <c r="H270" s="70">
        <f>E270*4+F270*9+G270*4</f>
        <v>44.400000000000006</v>
      </c>
      <c r="I270" s="73">
        <v>0.04</v>
      </c>
      <c r="J270" s="73">
        <v>0.02</v>
      </c>
      <c r="K270" s="71">
        <v>10</v>
      </c>
      <c r="L270" s="71">
        <v>0.02</v>
      </c>
      <c r="M270" s="73">
        <v>0.2</v>
      </c>
      <c r="N270" s="73">
        <v>16</v>
      </c>
      <c r="O270" s="73">
        <v>11</v>
      </c>
      <c r="P270" s="71">
        <v>0.03</v>
      </c>
      <c r="Q270" s="71">
        <v>0.002</v>
      </c>
      <c r="R270" s="73">
        <v>9</v>
      </c>
      <c r="S270" s="73">
        <v>2.2</v>
      </c>
      <c r="T270" s="75"/>
      <c r="U270" s="76"/>
      <c r="V270" s="76"/>
      <c r="W270" s="76"/>
    </row>
    <row r="271" spans="1:23" s="3" customFormat="1" ht="11.25" customHeight="1">
      <c r="A271" s="79" t="s">
        <v>81</v>
      </c>
      <c r="B271" s="148" t="s">
        <v>109</v>
      </c>
      <c r="C271" s="149"/>
      <c r="D271" s="71">
        <v>200</v>
      </c>
      <c r="E271" s="73">
        <f>3.5*D271/200</f>
        <v>3.5</v>
      </c>
      <c r="F271" s="73">
        <f>3.7*D271/200</f>
        <v>3.7</v>
      </c>
      <c r="G271" s="73">
        <f>25.5*D271/200</f>
        <v>25.5</v>
      </c>
      <c r="H271" s="73">
        <f>E271*4+F271*9+G271*4</f>
        <v>149.3</v>
      </c>
      <c r="I271" s="73">
        <f>0.06*D271/200</f>
        <v>0.06</v>
      </c>
      <c r="J271" s="73">
        <f>0.006*D271/200</f>
        <v>0.006</v>
      </c>
      <c r="K271" s="73">
        <f>1.6*D271/200</f>
        <v>1.6</v>
      </c>
      <c r="L271" s="74">
        <f>0.04*D271/200</f>
        <v>0.04</v>
      </c>
      <c r="M271" s="73">
        <f>0.4*D271/200</f>
        <v>0.4</v>
      </c>
      <c r="N271" s="73">
        <f>102.6*D271/200</f>
        <v>102.6</v>
      </c>
      <c r="O271" s="73">
        <f>178.4*D271/200</f>
        <v>178.4</v>
      </c>
      <c r="P271" s="73">
        <f>1*D271/200</f>
        <v>1</v>
      </c>
      <c r="Q271" s="74">
        <f>0.001*D271/200</f>
        <v>0.001</v>
      </c>
      <c r="R271" s="73">
        <f>24.8*D271/200</f>
        <v>24.8</v>
      </c>
      <c r="S271" s="73">
        <f>0.48*D271/200</f>
        <v>0.48</v>
      </c>
      <c r="T271" s="30"/>
      <c r="U271" s="31"/>
      <c r="V271" s="31"/>
      <c r="W271" s="31"/>
    </row>
    <row r="272" spans="1:23" s="3" customFormat="1" ht="11.25" customHeight="1">
      <c r="A272" s="64" t="str">
        <f>'[1]TDSheet'!A308</f>
        <v>Итого за Завтрак мясной</v>
      </c>
      <c r="B272" s="148" t="s">
        <v>111</v>
      </c>
      <c r="C272" s="149"/>
      <c r="D272" s="71">
        <v>40</v>
      </c>
      <c r="E272" s="73">
        <f>1.52*D272/30</f>
        <v>2.0266666666666664</v>
      </c>
      <c r="F272" s="74">
        <f>0.16*D272/30</f>
        <v>0.21333333333333335</v>
      </c>
      <c r="G272" s="74">
        <f>9.84*D272/30</f>
        <v>13.120000000000001</v>
      </c>
      <c r="H272" s="74">
        <f>E272*4+F272*9+G272*4</f>
        <v>62.50666666666667</v>
      </c>
      <c r="I272" s="74">
        <f>0.02*D272/30</f>
        <v>0.02666666666666667</v>
      </c>
      <c r="J272" s="74">
        <f>0.01*D272/30</f>
        <v>0.013333333333333334</v>
      </c>
      <c r="K272" s="74">
        <f>0.44*D272/30</f>
        <v>0.5866666666666667</v>
      </c>
      <c r="L272" s="74">
        <v>0</v>
      </c>
      <c r="M272" s="74">
        <f>0.7*D272/30</f>
        <v>0.9333333333333333</v>
      </c>
      <c r="N272" s="74">
        <f>4*D272/30</f>
        <v>5.333333333333333</v>
      </c>
      <c r="O272" s="74">
        <f>13*D272/30</f>
        <v>17.333333333333332</v>
      </c>
      <c r="P272" s="74">
        <f>0.008*D272/30</f>
        <v>0.010666666666666666</v>
      </c>
      <c r="Q272" s="74">
        <f>0.001*D272/30</f>
        <v>0.0013333333333333333</v>
      </c>
      <c r="R272" s="74">
        <v>0</v>
      </c>
      <c r="S272" s="74">
        <f>0.22*D272/30</f>
        <v>0.29333333333333333</v>
      </c>
      <c r="T272" s="75"/>
      <c r="U272" s="76"/>
      <c r="V272" s="76"/>
      <c r="W272" s="76"/>
    </row>
    <row r="273" spans="1:23" s="3" customFormat="1" ht="11.25" customHeight="1">
      <c r="A273" s="144" t="str">
        <f>'[1]TDSheet'!A315</f>
        <v>Обед (полноценный рацион питания)</v>
      </c>
      <c r="B273" s="65"/>
      <c r="C273" s="65"/>
      <c r="D273" s="66">
        <v>630</v>
      </c>
      <c r="E273" s="38">
        <f>SUM(E269:E272)</f>
        <v>17.656666666666666</v>
      </c>
      <c r="F273" s="37">
        <f>SUM(F269:F272)</f>
        <v>18.393333333333334</v>
      </c>
      <c r="G273" s="37">
        <f>SUM(G269:G272)</f>
        <v>63.36</v>
      </c>
      <c r="H273" s="49">
        <f>SUM(H269:H272)</f>
        <v>489.6066666666666</v>
      </c>
      <c r="I273" s="38">
        <f aca="true" t="shared" si="46" ref="I273:S273">SUM(I269:I272)</f>
        <v>0.2866666666666667</v>
      </c>
      <c r="J273" s="38">
        <f t="shared" si="46"/>
        <v>0.16933333333333334</v>
      </c>
      <c r="K273" s="38">
        <f t="shared" si="46"/>
        <v>12.496666666666666</v>
      </c>
      <c r="L273" s="38">
        <f t="shared" si="46"/>
        <v>0.069</v>
      </c>
      <c r="M273" s="38">
        <f t="shared" si="46"/>
        <v>1.5433333333333334</v>
      </c>
      <c r="N273" s="38">
        <f t="shared" si="46"/>
        <v>136.58333333333334</v>
      </c>
      <c r="O273" s="38">
        <f t="shared" si="46"/>
        <v>345.28333333333336</v>
      </c>
      <c r="P273" s="38">
        <f t="shared" si="46"/>
        <v>3.030666666666667</v>
      </c>
      <c r="Q273" s="39">
        <f t="shared" si="46"/>
        <v>0.034333333333333334</v>
      </c>
      <c r="R273" s="38">
        <f t="shared" si="46"/>
        <v>54.09</v>
      </c>
      <c r="S273" s="38">
        <f t="shared" si="46"/>
        <v>4.703333333333333</v>
      </c>
      <c r="T273" s="37"/>
      <c r="U273" s="40"/>
      <c r="V273" s="40"/>
      <c r="W273" s="40"/>
    </row>
    <row r="274" spans="1:23" s="3" customFormat="1" ht="11.25" customHeight="1">
      <c r="A274" s="114">
        <v>50</v>
      </c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6"/>
      <c r="T274" s="48"/>
      <c r="U274" s="40"/>
      <c r="V274" s="40"/>
      <c r="W274" s="40"/>
    </row>
    <row r="275" spans="1:23" s="3" customFormat="1" ht="11.25" customHeight="1">
      <c r="A275" s="114">
        <v>88</v>
      </c>
      <c r="B275" s="148" t="s">
        <v>94</v>
      </c>
      <c r="C275" s="149"/>
      <c r="D275" s="71">
        <v>60</v>
      </c>
      <c r="E275" s="73">
        <f>2.7*D275/60</f>
        <v>2.7</v>
      </c>
      <c r="F275" s="73">
        <f>4.7*D275/60</f>
        <v>4.7</v>
      </c>
      <c r="G275" s="73">
        <f>4.31*D275/60</f>
        <v>4.31</v>
      </c>
      <c r="H275" s="73">
        <f aca="true" t="shared" si="47" ref="H275:H281">E275*4+F275*9+G275*4</f>
        <v>70.34</v>
      </c>
      <c r="I275" s="73">
        <f>0.01*D275/60</f>
        <v>0.01</v>
      </c>
      <c r="J275" s="74">
        <f>0.046*D275/60</f>
        <v>0.046</v>
      </c>
      <c r="K275" s="73">
        <f>5.7*D275/60</f>
        <v>5.7</v>
      </c>
      <c r="L275" s="73">
        <f>0.02*D275/60</f>
        <v>0.02</v>
      </c>
      <c r="M275" s="73">
        <f>0.1*D275/60</f>
        <v>0.1</v>
      </c>
      <c r="N275" s="73">
        <f>97.02*D275/60</f>
        <v>97.02</v>
      </c>
      <c r="O275" s="73">
        <f>65.56*D275/60</f>
        <v>65.56</v>
      </c>
      <c r="P275" s="73">
        <f>0.43*D275/60</f>
        <v>0.43</v>
      </c>
      <c r="Q275" s="74">
        <f>0.001*D275/60</f>
        <v>0.001</v>
      </c>
      <c r="R275" s="73">
        <f>13.79*D275/60</f>
        <v>13.79</v>
      </c>
      <c r="S275" s="73">
        <f>0.84*D275/60</f>
        <v>0.84</v>
      </c>
      <c r="T275" s="11"/>
      <c r="U275" s="24"/>
      <c r="V275" s="24"/>
      <c r="W275" s="24"/>
    </row>
    <row r="276" spans="1:23" s="3" customFormat="1" ht="20.25" customHeight="1">
      <c r="A276" s="79">
        <v>232</v>
      </c>
      <c r="B276" s="181" t="s">
        <v>70</v>
      </c>
      <c r="C276" s="182"/>
      <c r="D276" s="73" t="s">
        <v>49</v>
      </c>
      <c r="E276" s="73">
        <v>1.97</v>
      </c>
      <c r="F276" s="73">
        <v>5.18</v>
      </c>
      <c r="G276" s="73">
        <v>8.97</v>
      </c>
      <c r="H276" s="73">
        <f t="shared" si="47"/>
        <v>90.38</v>
      </c>
      <c r="I276" s="73">
        <v>0.02</v>
      </c>
      <c r="J276" s="73">
        <v>0.02</v>
      </c>
      <c r="K276" s="73">
        <v>9.2</v>
      </c>
      <c r="L276" s="73">
        <v>0.04</v>
      </c>
      <c r="M276" s="73">
        <v>0.08</v>
      </c>
      <c r="N276" s="73">
        <v>36.74</v>
      </c>
      <c r="O276" s="73">
        <v>24.2</v>
      </c>
      <c r="P276" s="73">
        <v>1.16</v>
      </c>
      <c r="Q276" s="73">
        <v>0.0014</v>
      </c>
      <c r="R276" s="73">
        <v>12.4</v>
      </c>
      <c r="S276" s="73">
        <v>0.4</v>
      </c>
      <c r="T276" s="75"/>
      <c r="U276" s="76"/>
      <c r="V276" s="76"/>
      <c r="W276" s="76"/>
    </row>
    <row r="277" spans="1:23" s="3" customFormat="1" ht="21.75" customHeight="1">
      <c r="A277" s="79">
        <v>312</v>
      </c>
      <c r="B277" s="148" t="s">
        <v>83</v>
      </c>
      <c r="C277" s="149"/>
      <c r="D277" s="71">
        <v>90</v>
      </c>
      <c r="E277" s="73">
        <f>17.77*D277/80</f>
        <v>19.99125</v>
      </c>
      <c r="F277" s="73">
        <f>9.32*D277/80</f>
        <v>10.485000000000001</v>
      </c>
      <c r="G277" s="73">
        <f>2.39*D277/80</f>
        <v>2.68875</v>
      </c>
      <c r="H277" s="73">
        <f t="shared" si="47"/>
        <v>185.085</v>
      </c>
      <c r="I277" s="73">
        <f>0.18*D277/80</f>
        <v>0.20249999999999999</v>
      </c>
      <c r="J277" s="73">
        <f>0.15*D277/80</f>
        <v>0.16875</v>
      </c>
      <c r="K277" s="70">
        <f>0.84*D277/80</f>
        <v>0.945</v>
      </c>
      <c r="L277" s="73">
        <f>0.0253*D277/80</f>
        <v>0.0284625</v>
      </c>
      <c r="M277" s="69">
        <f>0.1*D277/80</f>
        <v>0.1125</v>
      </c>
      <c r="N277" s="73">
        <f>33.32*D277/80</f>
        <v>37.485</v>
      </c>
      <c r="O277" s="73">
        <f>100.08*D277/80</f>
        <v>112.59</v>
      </c>
      <c r="P277" s="73">
        <f>0.2196*D277/80</f>
        <v>0.24705</v>
      </c>
      <c r="Q277" s="74">
        <f>0.009*D277/80</f>
        <v>0.010124999999999999</v>
      </c>
      <c r="R277" s="73">
        <f>18.42*D277/80</f>
        <v>20.722500000000004</v>
      </c>
      <c r="S277" s="73">
        <f>0.63*D277/80</f>
        <v>0.70875</v>
      </c>
      <c r="T277" s="75"/>
      <c r="U277" s="76"/>
      <c r="V277" s="76"/>
      <c r="W277" s="76"/>
    </row>
    <row r="278" spans="1:23" ht="29.25" customHeight="1">
      <c r="A278" s="114">
        <v>345</v>
      </c>
      <c r="B278" s="148" t="s">
        <v>47</v>
      </c>
      <c r="C278" s="149"/>
      <c r="D278" s="71">
        <v>150</v>
      </c>
      <c r="E278" s="73">
        <f>D278*3.29/150</f>
        <v>3.29</v>
      </c>
      <c r="F278" s="73">
        <f>D278*7.06/150</f>
        <v>7.06</v>
      </c>
      <c r="G278" s="73">
        <f>D278*22.21/150</f>
        <v>22.21</v>
      </c>
      <c r="H278" s="73">
        <f t="shared" si="47"/>
        <v>165.54000000000002</v>
      </c>
      <c r="I278" s="73">
        <f>D278*0.16/150</f>
        <v>0.16</v>
      </c>
      <c r="J278" s="73">
        <f>D278*0.13/150</f>
        <v>0.13</v>
      </c>
      <c r="K278" s="73">
        <f>D278*0.73/150</f>
        <v>0.73</v>
      </c>
      <c r="L278" s="74">
        <f>D278*0.08/150</f>
        <v>0.08</v>
      </c>
      <c r="M278" s="69">
        <f>1.5*D278/150</f>
        <v>1.5</v>
      </c>
      <c r="N278" s="73">
        <f>D278*42.54/150</f>
        <v>42.54</v>
      </c>
      <c r="O278" s="70">
        <f>D278*97.75/150</f>
        <v>97.75</v>
      </c>
      <c r="P278" s="74">
        <f>0.299*D278/150</f>
        <v>0.299</v>
      </c>
      <c r="Q278" s="74">
        <f>0.001*D278/150</f>
        <v>0.001</v>
      </c>
      <c r="R278" s="73">
        <f>D278*33.06/150</f>
        <v>33.06</v>
      </c>
      <c r="S278" s="73">
        <f>D278*1.19/150</f>
        <v>1.19</v>
      </c>
      <c r="T278" s="17"/>
      <c r="U278" s="20"/>
      <c r="V278" s="20"/>
      <c r="W278" s="20"/>
    </row>
    <row r="279" spans="1:23" s="95" customFormat="1" ht="13.5" customHeight="1">
      <c r="A279" s="80" t="s">
        <v>81</v>
      </c>
      <c r="B279" s="148" t="s">
        <v>51</v>
      </c>
      <c r="C279" s="149"/>
      <c r="D279" s="71">
        <v>200</v>
      </c>
      <c r="E279" s="73">
        <v>0.06</v>
      </c>
      <c r="F279" s="69">
        <v>0.02</v>
      </c>
      <c r="G279" s="73">
        <v>20.73</v>
      </c>
      <c r="H279" s="73">
        <f>E279*4+F279*9+G279*4</f>
        <v>83.34</v>
      </c>
      <c r="I279" s="73"/>
      <c r="J279" s="73"/>
      <c r="K279" s="73">
        <v>2.5</v>
      </c>
      <c r="L279" s="70">
        <v>0</v>
      </c>
      <c r="M279" s="73">
        <v>0.2</v>
      </c>
      <c r="N279" s="73">
        <v>4</v>
      </c>
      <c r="O279" s="73">
        <v>3.3</v>
      </c>
      <c r="P279" s="73">
        <v>0.08</v>
      </c>
      <c r="Q279" s="74">
        <v>0.001</v>
      </c>
      <c r="R279" s="73">
        <v>1.7</v>
      </c>
      <c r="S279" s="73">
        <v>0.15</v>
      </c>
      <c r="T279" s="96"/>
      <c r="U279" s="97"/>
      <c r="V279" s="94"/>
      <c r="W279" s="94"/>
    </row>
    <row r="280" spans="1:19" ht="11.25">
      <c r="A280" s="79" t="s">
        <v>81</v>
      </c>
      <c r="B280" s="148" t="s">
        <v>46</v>
      </c>
      <c r="C280" s="149"/>
      <c r="D280" s="71">
        <v>40</v>
      </c>
      <c r="E280" s="73">
        <f>2.64*D280/40</f>
        <v>2.64</v>
      </c>
      <c r="F280" s="73">
        <f>0.48*D280/40</f>
        <v>0.48</v>
      </c>
      <c r="G280" s="73">
        <f>13.68*D280/40</f>
        <v>13.680000000000001</v>
      </c>
      <c r="H280" s="70">
        <f t="shared" si="47"/>
        <v>69.60000000000001</v>
      </c>
      <c r="I280" s="69">
        <f>0.08*D280/40</f>
        <v>0.08</v>
      </c>
      <c r="J280" s="73">
        <f>0.04*D280/40</f>
        <v>0.04</v>
      </c>
      <c r="K280" s="71">
        <v>0</v>
      </c>
      <c r="L280" s="71">
        <v>0</v>
      </c>
      <c r="M280" s="73">
        <f>2.4*D280/40</f>
        <v>2.4</v>
      </c>
      <c r="N280" s="73">
        <f>14*D280/40</f>
        <v>14</v>
      </c>
      <c r="O280" s="73">
        <f>63.2*D280/40</f>
        <v>63.2</v>
      </c>
      <c r="P280" s="73">
        <f>1.2*D280/40</f>
        <v>1.2</v>
      </c>
      <c r="Q280" s="74">
        <f>0.001*D280/40</f>
        <v>0.001</v>
      </c>
      <c r="R280" s="73">
        <f>9.4*D280/40</f>
        <v>9.4</v>
      </c>
      <c r="S280" s="69">
        <f>0.78*D280/40</f>
        <v>0.78</v>
      </c>
    </row>
    <row r="281" spans="1:19" ht="11.25">
      <c r="A281" s="62" t="s">
        <v>29</v>
      </c>
      <c r="B281" s="148" t="s">
        <v>57</v>
      </c>
      <c r="C281" s="149"/>
      <c r="D281" s="71">
        <v>40</v>
      </c>
      <c r="E281" s="73">
        <f>1.52*D281/30</f>
        <v>2.0266666666666664</v>
      </c>
      <c r="F281" s="74">
        <f>0.16*D281/30</f>
        <v>0.21333333333333335</v>
      </c>
      <c r="G281" s="74">
        <f>9.84*D281/30</f>
        <v>13.120000000000001</v>
      </c>
      <c r="H281" s="74">
        <f t="shared" si="47"/>
        <v>62.50666666666667</v>
      </c>
      <c r="I281" s="74">
        <f>0.02*D281/30</f>
        <v>0.02666666666666667</v>
      </c>
      <c r="J281" s="74">
        <f>0.01*D281/30</f>
        <v>0.013333333333333334</v>
      </c>
      <c r="K281" s="74">
        <f>0.44*D281/30</f>
        <v>0.5866666666666667</v>
      </c>
      <c r="L281" s="74">
        <v>0</v>
      </c>
      <c r="M281" s="74">
        <f>0.7*D281/30</f>
        <v>0.9333333333333333</v>
      </c>
      <c r="N281" s="74">
        <f>4*D281/30</f>
        <v>5.333333333333333</v>
      </c>
      <c r="O281" s="74">
        <f>13*D281/30</f>
        <v>17.333333333333332</v>
      </c>
      <c r="P281" s="74">
        <f>0.008*D281/30</f>
        <v>0.010666666666666666</v>
      </c>
      <c r="Q281" s="74">
        <f>0.001*D281/30</f>
        <v>0.0013333333333333333</v>
      </c>
      <c r="R281" s="74">
        <v>0</v>
      </c>
      <c r="S281" s="74">
        <f>0.22*D281/30</f>
        <v>0.29333333333333333</v>
      </c>
    </row>
    <row r="282" spans="1:19" ht="11.25">
      <c r="A282" s="59"/>
      <c r="B282" s="63"/>
      <c r="C282" s="63"/>
      <c r="D282" s="61">
        <v>790</v>
      </c>
      <c r="E282" s="38">
        <f>SUM(E275:E281)</f>
        <v>32.67791666666667</v>
      </c>
      <c r="F282" s="37">
        <f aca="true" t="shared" si="48" ref="F282:S282">SUM(F275:F281)</f>
        <v>28.138333333333335</v>
      </c>
      <c r="G282" s="37">
        <f t="shared" si="48"/>
        <v>85.70875000000001</v>
      </c>
      <c r="H282" s="37">
        <f t="shared" si="48"/>
        <v>726.7916666666667</v>
      </c>
      <c r="I282" s="37">
        <f t="shared" si="48"/>
        <v>0.49916666666666665</v>
      </c>
      <c r="J282" s="37">
        <f t="shared" si="48"/>
        <v>0.4180833333333333</v>
      </c>
      <c r="K282" s="37">
        <f t="shared" si="48"/>
        <v>19.661666666666665</v>
      </c>
      <c r="L282" s="37">
        <f t="shared" si="48"/>
        <v>0.16846250000000002</v>
      </c>
      <c r="M282" s="37">
        <f t="shared" si="48"/>
        <v>5.325833333333334</v>
      </c>
      <c r="N282" s="37">
        <f t="shared" si="48"/>
        <v>237.11833333333334</v>
      </c>
      <c r="O282" s="37">
        <f t="shared" si="48"/>
        <v>383.93333333333334</v>
      </c>
      <c r="P282" s="37">
        <f t="shared" si="48"/>
        <v>3.426716666666667</v>
      </c>
      <c r="Q282" s="37">
        <f t="shared" si="48"/>
        <v>0.016858333333333333</v>
      </c>
      <c r="R282" s="37">
        <f t="shared" si="48"/>
        <v>91.0725</v>
      </c>
      <c r="S282" s="37">
        <f t="shared" si="48"/>
        <v>4.362083333333333</v>
      </c>
    </row>
    <row r="283" spans="1:19" ht="11.25">
      <c r="A283" s="142" t="s">
        <v>43</v>
      </c>
      <c r="B283" s="56"/>
      <c r="C283" s="56"/>
      <c r="D283" s="72"/>
      <c r="E283" s="35"/>
      <c r="F283" s="72"/>
      <c r="G283" s="72"/>
      <c r="H283" s="72"/>
      <c r="I283" s="72"/>
      <c r="J283" s="72"/>
      <c r="K283" s="72"/>
      <c r="L283" s="174" t="s">
        <v>80</v>
      </c>
      <c r="M283" s="174"/>
      <c r="N283" s="174"/>
      <c r="O283" s="174"/>
      <c r="P283" s="174"/>
      <c r="Q283" s="174"/>
      <c r="R283" s="174"/>
      <c r="S283" s="174"/>
    </row>
    <row r="284" spans="1:19" ht="11.25">
      <c r="A284" s="60" t="s">
        <v>59</v>
      </c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</row>
    <row r="285" spans="1:19" ht="11.25">
      <c r="A285" s="56"/>
      <c r="B285" s="56"/>
      <c r="C285" s="56"/>
      <c r="D285" s="2"/>
      <c r="E285" s="35"/>
      <c r="F285" s="175" t="s">
        <v>37</v>
      </c>
      <c r="G285" s="175"/>
      <c r="H285" s="175"/>
      <c r="I285" s="72"/>
      <c r="J285" s="72"/>
      <c r="K285" s="171" t="s">
        <v>2</v>
      </c>
      <c r="L285" s="171"/>
      <c r="M285" s="168" t="s">
        <v>77</v>
      </c>
      <c r="N285" s="168"/>
      <c r="O285" s="168"/>
      <c r="P285" s="168"/>
      <c r="Q285" s="72"/>
      <c r="R285" s="72"/>
      <c r="S285" s="72"/>
    </row>
    <row r="286" spans="1:19" ht="11.25">
      <c r="A286" s="169" t="s">
        <v>5</v>
      </c>
      <c r="B286" s="56"/>
      <c r="C286" s="56"/>
      <c r="D286" s="171" t="s">
        <v>3</v>
      </c>
      <c r="E286" s="171"/>
      <c r="F286" s="7">
        <v>2</v>
      </c>
      <c r="G286" s="72"/>
      <c r="H286" s="2"/>
      <c r="I286" s="2"/>
      <c r="J286" s="2"/>
      <c r="K286" s="171" t="s">
        <v>4</v>
      </c>
      <c r="L286" s="171"/>
      <c r="M286" s="175" t="s">
        <v>61</v>
      </c>
      <c r="N286" s="175"/>
      <c r="O286" s="175"/>
      <c r="P286" s="175"/>
      <c r="Q286" s="175"/>
      <c r="R286" s="175"/>
      <c r="S286" s="175"/>
    </row>
    <row r="287" spans="1:19" ht="11.25">
      <c r="A287" s="170"/>
      <c r="B287" s="169" t="s">
        <v>6</v>
      </c>
      <c r="C287" s="169"/>
      <c r="D287" s="169" t="s">
        <v>7</v>
      </c>
      <c r="E287" s="165" t="s">
        <v>8</v>
      </c>
      <c r="F287" s="166"/>
      <c r="G287" s="167"/>
      <c r="H287" s="169" t="s">
        <v>9</v>
      </c>
      <c r="I287" s="176" t="s">
        <v>10</v>
      </c>
      <c r="J287" s="176"/>
      <c r="K287" s="176"/>
      <c r="L287" s="176"/>
      <c r="M287" s="176"/>
      <c r="N287" s="176" t="s">
        <v>11</v>
      </c>
      <c r="O287" s="176"/>
      <c r="P287" s="176"/>
      <c r="Q287" s="176"/>
      <c r="R287" s="176"/>
      <c r="S287" s="176"/>
    </row>
    <row r="288" spans="1:19" ht="11.25">
      <c r="A288" s="114">
        <v>1</v>
      </c>
      <c r="B288" s="172"/>
      <c r="C288" s="173"/>
      <c r="D288" s="170"/>
      <c r="E288" s="103" t="s">
        <v>12</v>
      </c>
      <c r="F288" s="117" t="s">
        <v>13</v>
      </c>
      <c r="G288" s="117" t="s">
        <v>14</v>
      </c>
      <c r="H288" s="170"/>
      <c r="I288" s="117" t="s">
        <v>15</v>
      </c>
      <c r="J288" s="117" t="s">
        <v>62</v>
      </c>
      <c r="K288" s="117" t="s">
        <v>16</v>
      </c>
      <c r="L288" s="117" t="s">
        <v>17</v>
      </c>
      <c r="M288" s="117" t="s">
        <v>18</v>
      </c>
      <c r="N288" s="117" t="s">
        <v>19</v>
      </c>
      <c r="O288" s="117" t="s">
        <v>20</v>
      </c>
      <c r="P288" s="117" t="s">
        <v>63</v>
      </c>
      <c r="Q288" s="117" t="s">
        <v>64</v>
      </c>
      <c r="R288" s="117" t="s">
        <v>21</v>
      </c>
      <c r="S288" s="117" t="s">
        <v>22</v>
      </c>
    </row>
    <row r="289" spans="1:19" ht="11.25">
      <c r="A289" s="133" t="s">
        <v>26</v>
      </c>
      <c r="B289" s="183">
        <v>2</v>
      </c>
      <c r="C289" s="183"/>
      <c r="D289" s="36">
        <v>3</v>
      </c>
      <c r="E289" s="104">
        <v>4</v>
      </c>
      <c r="F289" s="36">
        <v>5</v>
      </c>
      <c r="G289" s="36">
        <v>6</v>
      </c>
      <c r="H289" s="36">
        <v>7</v>
      </c>
      <c r="I289" s="36">
        <v>8</v>
      </c>
      <c r="J289" s="36">
        <v>9</v>
      </c>
      <c r="K289" s="36">
        <v>10</v>
      </c>
      <c r="L289" s="36">
        <v>11</v>
      </c>
      <c r="M289" s="36">
        <v>12</v>
      </c>
      <c r="N289" s="36">
        <v>13</v>
      </c>
      <c r="O289" s="36">
        <v>14</v>
      </c>
      <c r="P289" s="36">
        <v>15</v>
      </c>
      <c r="Q289" s="36">
        <v>16</v>
      </c>
      <c r="R289" s="36">
        <v>17</v>
      </c>
      <c r="S289" s="36">
        <v>18</v>
      </c>
    </row>
    <row r="290" spans="1:19" ht="11.25">
      <c r="A290" s="85">
        <v>131</v>
      </c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5"/>
    </row>
    <row r="291" spans="1:19" ht="11.25">
      <c r="A291" s="119">
        <v>15</v>
      </c>
      <c r="B291" s="148" t="s">
        <v>93</v>
      </c>
      <c r="C291" s="149"/>
      <c r="D291" s="71">
        <v>20</v>
      </c>
      <c r="E291" s="73">
        <v>4.6</v>
      </c>
      <c r="F291" s="69">
        <v>0.24</v>
      </c>
      <c r="G291" s="70">
        <v>10.66</v>
      </c>
      <c r="H291" s="70">
        <f aca="true" t="shared" si="49" ref="H291:H297">E291*4+F291*9+G291*4</f>
        <v>63.2</v>
      </c>
      <c r="I291" s="69">
        <v>0.16</v>
      </c>
      <c r="J291" s="69">
        <v>0.04</v>
      </c>
      <c r="K291" s="71">
        <v>0</v>
      </c>
      <c r="L291" s="73">
        <v>0.002</v>
      </c>
      <c r="M291" s="69">
        <v>1.82</v>
      </c>
      <c r="N291" s="70">
        <v>23</v>
      </c>
      <c r="O291" s="70">
        <v>65.8</v>
      </c>
      <c r="P291" s="73">
        <v>0.64</v>
      </c>
      <c r="Q291" s="73">
        <v>0.00102</v>
      </c>
      <c r="R291" s="70">
        <v>21.4</v>
      </c>
      <c r="S291" s="73">
        <v>0.004</v>
      </c>
    </row>
    <row r="292" spans="1:19" ht="11.25">
      <c r="A292" s="79">
        <v>173</v>
      </c>
      <c r="B292" s="148" t="s">
        <v>90</v>
      </c>
      <c r="C292" s="149"/>
      <c r="D292" s="71">
        <v>20</v>
      </c>
      <c r="E292" s="73">
        <f>2.32*D292/10</f>
        <v>4.64</v>
      </c>
      <c r="F292" s="73">
        <f>3.4*D292/10</f>
        <v>6.8</v>
      </c>
      <c r="G292" s="73">
        <f>0.01*D292/10</f>
        <v>0.02</v>
      </c>
      <c r="H292" s="73">
        <f t="shared" si="49"/>
        <v>79.83999999999999</v>
      </c>
      <c r="I292" s="73">
        <f>0.004*D292/10</f>
        <v>0.008</v>
      </c>
      <c r="J292" s="73">
        <f>0.03*D292/10</f>
        <v>0.06</v>
      </c>
      <c r="K292" s="73">
        <f>0.07*D292/10</f>
        <v>0.14</v>
      </c>
      <c r="L292" s="74">
        <f>0.023*D292/10</f>
        <v>0.046</v>
      </c>
      <c r="M292" s="73">
        <f>0.05*D292/10</f>
        <v>0.1</v>
      </c>
      <c r="N292" s="73">
        <f>88*D292/10</f>
        <v>176</v>
      </c>
      <c r="O292" s="73">
        <f>50*D292/10</f>
        <v>100</v>
      </c>
      <c r="P292" s="73">
        <f>0.4*D292/10</f>
        <v>0.8</v>
      </c>
      <c r="Q292" s="74">
        <f>0.02*D292/10</f>
        <v>0.04</v>
      </c>
      <c r="R292" s="73">
        <f>3.5*D292/10</f>
        <v>7</v>
      </c>
      <c r="S292" s="73">
        <f>0.13*D292/10</f>
        <v>0.26</v>
      </c>
    </row>
    <row r="293" spans="1:19" ht="11.25">
      <c r="A293" s="67">
        <v>338</v>
      </c>
      <c r="B293" s="148" t="s">
        <v>72</v>
      </c>
      <c r="C293" s="149"/>
      <c r="D293" s="71">
        <v>200</v>
      </c>
      <c r="E293" s="73">
        <v>7.3</v>
      </c>
      <c r="F293" s="70">
        <v>12.5</v>
      </c>
      <c r="G293" s="70">
        <v>54.3</v>
      </c>
      <c r="H293" s="70">
        <f>E293*4+F293*9+G293*4</f>
        <v>358.9</v>
      </c>
      <c r="I293" s="73">
        <v>0.14</v>
      </c>
      <c r="J293" s="73">
        <v>0.18</v>
      </c>
      <c r="K293" s="73">
        <v>3.35</v>
      </c>
      <c r="L293" s="74">
        <v>0.037</v>
      </c>
      <c r="M293" s="73">
        <v>1.3</v>
      </c>
      <c r="N293" s="70">
        <v>147.6</v>
      </c>
      <c r="O293" s="70">
        <v>198.6</v>
      </c>
      <c r="P293" s="71">
        <v>0</v>
      </c>
      <c r="Q293" s="70">
        <v>0</v>
      </c>
      <c r="R293" s="70">
        <v>57.8</v>
      </c>
      <c r="S293" s="73">
        <v>1.3</v>
      </c>
    </row>
    <row r="294" spans="1:19" ht="11.25">
      <c r="A294" s="129">
        <v>379</v>
      </c>
      <c r="B294" s="148" t="s">
        <v>75</v>
      </c>
      <c r="C294" s="149"/>
      <c r="D294" s="71">
        <v>100</v>
      </c>
      <c r="E294" s="73">
        <v>0.9</v>
      </c>
      <c r="F294" s="69">
        <v>0.2</v>
      </c>
      <c r="G294" s="70">
        <v>8.1</v>
      </c>
      <c r="H294" s="73">
        <f t="shared" si="49"/>
        <v>37.8</v>
      </c>
      <c r="I294" s="73">
        <v>0.04</v>
      </c>
      <c r="J294" s="73">
        <v>0.03</v>
      </c>
      <c r="K294" s="73">
        <v>60</v>
      </c>
      <c r="L294" s="73">
        <v>0.008</v>
      </c>
      <c r="M294" s="69">
        <v>0.2</v>
      </c>
      <c r="N294" s="73">
        <v>34</v>
      </c>
      <c r="O294" s="73">
        <v>23</v>
      </c>
      <c r="P294" s="74">
        <v>0.2</v>
      </c>
      <c r="Q294" s="73">
        <v>0.002</v>
      </c>
      <c r="R294" s="73">
        <v>15</v>
      </c>
      <c r="S294" s="73">
        <v>0.3</v>
      </c>
    </row>
    <row r="295" spans="1:19" ht="11.25">
      <c r="A295" s="114">
        <v>376</v>
      </c>
      <c r="B295" s="148" t="s">
        <v>56</v>
      </c>
      <c r="C295" s="149"/>
      <c r="D295" s="71">
        <v>200</v>
      </c>
      <c r="E295" s="73">
        <v>3.17</v>
      </c>
      <c r="F295" s="73">
        <v>2.68</v>
      </c>
      <c r="G295" s="73">
        <v>15.95</v>
      </c>
      <c r="H295" s="73">
        <f>E295*4+F295*9+G295*4</f>
        <v>100.6</v>
      </c>
      <c r="I295" s="73">
        <v>0.04</v>
      </c>
      <c r="J295" s="73">
        <v>0.15</v>
      </c>
      <c r="K295" s="73">
        <v>1.3</v>
      </c>
      <c r="L295" s="74">
        <v>0.03</v>
      </c>
      <c r="M295" s="69">
        <v>0.06</v>
      </c>
      <c r="N295" s="73">
        <v>120.4</v>
      </c>
      <c r="O295" s="70">
        <v>90</v>
      </c>
      <c r="P295" s="73">
        <v>1.1</v>
      </c>
      <c r="Q295" s="74">
        <v>0.01</v>
      </c>
      <c r="R295" s="73">
        <v>14</v>
      </c>
      <c r="S295" s="73">
        <v>0.12</v>
      </c>
    </row>
    <row r="296" spans="1:19" ht="11.25">
      <c r="A296" s="79" t="s">
        <v>81</v>
      </c>
      <c r="B296" s="147" t="s">
        <v>71</v>
      </c>
      <c r="C296" s="147"/>
      <c r="D296" s="71">
        <v>200</v>
      </c>
      <c r="E296" s="73">
        <v>0.2</v>
      </c>
      <c r="F296" s="73">
        <v>0.05</v>
      </c>
      <c r="G296" s="73">
        <v>15.01</v>
      </c>
      <c r="H296" s="73">
        <f t="shared" si="49"/>
        <v>61.29</v>
      </c>
      <c r="I296" s="71">
        <v>0</v>
      </c>
      <c r="J296" s="73">
        <v>0.01</v>
      </c>
      <c r="K296" s="73">
        <v>9</v>
      </c>
      <c r="L296" s="77">
        <v>0.0001</v>
      </c>
      <c r="M296" s="69">
        <v>0.045</v>
      </c>
      <c r="N296" s="73">
        <v>5.25</v>
      </c>
      <c r="O296" s="73">
        <v>8.24</v>
      </c>
      <c r="P296" s="74">
        <v>0.008</v>
      </c>
      <c r="Q296" s="71">
        <v>0</v>
      </c>
      <c r="R296" s="70">
        <v>4.4</v>
      </c>
      <c r="S296" s="73">
        <v>0.87</v>
      </c>
    </row>
    <row r="297" spans="1:19" ht="11.25">
      <c r="A297" s="62" t="s">
        <v>27</v>
      </c>
      <c r="B297" s="148" t="s">
        <v>111</v>
      </c>
      <c r="C297" s="149"/>
      <c r="D297" s="71">
        <v>40</v>
      </c>
      <c r="E297" s="73">
        <f>1.52*D297/30</f>
        <v>2.0266666666666664</v>
      </c>
      <c r="F297" s="74">
        <f>0.16*D297/30</f>
        <v>0.21333333333333335</v>
      </c>
      <c r="G297" s="74">
        <f>9.84*D297/30</f>
        <v>13.120000000000001</v>
      </c>
      <c r="H297" s="74">
        <f t="shared" si="49"/>
        <v>62.50666666666667</v>
      </c>
      <c r="I297" s="74">
        <f>0.02*D297/30</f>
        <v>0.02666666666666667</v>
      </c>
      <c r="J297" s="74">
        <f>0.01*D297/30</f>
        <v>0.013333333333333334</v>
      </c>
      <c r="K297" s="74">
        <f>0.44*D297/30</f>
        <v>0.5866666666666667</v>
      </c>
      <c r="L297" s="74">
        <v>0</v>
      </c>
      <c r="M297" s="74">
        <f>0.7*D297/30</f>
        <v>0.9333333333333333</v>
      </c>
      <c r="N297" s="74">
        <f>4*D297/30</f>
        <v>5.333333333333333</v>
      </c>
      <c r="O297" s="74">
        <f>13*D297/30</f>
        <v>17.333333333333332</v>
      </c>
      <c r="P297" s="74">
        <f>0.008*D297/30</f>
        <v>0.010666666666666666</v>
      </c>
      <c r="Q297" s="74">
        <f>0.001*D297/30</f>
        <v>0.0013333333333333333</v>
      </c>
      <c r="R297" s="74">
        <v>0</v>
      </c>
      <c r="S297" s="74">
        <f>0.22*D297/30</f>
        <v>0.29333333333333333</v>
      </c>
    </row>
    <row r="298" spans="1:19" ht="11.25">
      <c r="A298" s="136" t="s">
        <v>68</v>
      </c>
      <c r="B298" s="63"/>
      <c r="C298" s="63"/>
      <c r="D298" s="66">
        <f aca="true" t="shared" si="50" ref="D298:S298">SUM(D291:D297)</f>
        <v>780</v>
      </c>
      <c r="E298" s="38">
        <f t="shared" si="50"/>
        <v>22.836666666666666</v>
      </c>
      <c r="F298" s="49">
        <f t="shared" si="50"/>
        <v>22.683333333333334</v>
      </c>
      <c r="G298" s="49">
        <f t="shared" si="50"/>
        <v>117.16</v>
      </c>
      <c r="H298" s="37">
        <f t="shared" si="50"/>
        <v>764.1366666666665</v>
      </c>
      <c r="I298" s="38">
        <f t="shared" si="50"/>
        <v>0.4146666666666667</v>
      </c>
      <c r="J298" s="38">
        <f t="shared" si="50"/>
        <v>0.4833333333333334</v>
      </c>
      <c r="K298" s="38">
        <f t="shared" si="50"/>
        <v>74.37666666666668</v>
      </c>
      <c r="L298" s="38">
        <f t="shared" si="50"/>
        <v>0.1231</v>
      </c>
      <c r="M298" s="37">
        <f t="shared" si="50"/>
        <v>4.458333333333334</v>
      </c>
      <c r="N298" s="37">
        <f t="shared" si="50"/>
        <v>511.5833333333333</v>
      </c>
      <c r="O298" s="37">
        <f t="shared" si="50"/>
        <v>502.9733333333333</v>
      </c>
      <c r="P298" s="37">
        <f t="shared" si="50"/>
        <v>2.758666666666667</v>
      </c>
      <c r="Q298" s="38">
        <f t="shared" si="50"/>
        <v>0.05435333333333334</v>
      </c>
      <c r="R298" s="37">
        <f t="shared" si="50"/>
        <v>119.6</v>
      </c>
      <c r="S298" s="38">
        <f t="shared" si="50"/>
        <v>3.1473333333333335</v>
      </c>
    </row>
    <row r="299" spans="1:19" ht="11.25">
      <c r="A299" s="133" t="s">
        <v>28</v>
      </c>
      <c r="B299" s="137"/>
      <c r="C299" s="137"/>
      <c r="D299" s="138"/>
      <c r="E299" s="109">
        <f aca="true" t="shared" si="51" ref="E299:R299">E298/E310</f>
        <v>0.29658008658008655</v>
      </c>
      <c r="F299" s="43">
        <f t="shared" si="51"/>
        <v>0.2871308016877637</v>
      </c>
      <c r="G299" s="43">
        <f t="shared" si="51"/>
        <v>0.3497313432835821</v>
      </c>
      <c r="H299" s="43">
        <f t="shared" si="51"/>
        <v>0.32516453900709213</v>
      </c>
      <c r="I299" s="43">
        <f t="shared" si="51"/>
        <v>0.34555555555555556</v>
      </c>
      <c r="J299" s="43">
        <f t="shared" si="51"/>
        <v>0.3452380952380953</v>
      </c>
      <c r="K299" s="43">
        <f t="shared" si="51"/>
        <v>1.2396111111111112</v>
      </c>
      <c r="L299" s="43">
        <f t="shared" si="51"/>
        <v>0.17585714285714288</v>
      </c>
      <c r="M299" s="43">
        <f t="shared" si="51"/>
        <v>0.4458333333333334</v>
      </c>
      <c r="N299" s="43">
        <f t="shared" si="51"/>
        <v>0.46507575757575753</v>
      </c>
      <c r="O299" s="43">
        <f t="shared" si="51"/>
        <v>0.4572484848484848</v>
      </c>
      <c r="P299" s="43">
        <f t="shared" si="51"/>
        <v>0.2758666666666667</v>
      </c>
      <c r="Q299" s="43">
        <f t="shared" si="51"/>
        <v>0.5435333333333333</v>
      </c>
      <c r="R299" s="43">
        <f t="shared" si="51"/>
        <v>0.4784</v>
      </c>
      <c r="S299" s="43">
        <f>S298</f>
        <v>3.1473333333333335</v>
      </c>
    </row>
    <row r="300" spans="1:19" ht="11.25">
      <c r="A300" s="89" t="s">
        <v>102</v>
      </c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5"/>
    </row>
    <row r="301" spans="1:19" ht="11.25">
      <c r="A301" s="114">
        <v>24</v>
      </c>
      <c r="B301" s="198" t="s">
        <v>101</v>
      </c>
      <c r="C301" s="198"/>
      <c r="D301" s="89">
        <v>60</v>
      </c>
      <c r="E301" s="92">
        <f>0.77*D301/60</f>
        <v>0.77</v>
      </c>
      <c r="F301" s="89">
        <f>2.04*D301/60</f>
        <v>2.04</v>
      </c>
      <c r="G301" s="89">
        <f>2.26*D301/60</f>
        <v>2.26</v>
      </c>
      <c r="H301" s="93">
        <f aca="true" t="shared" si="52" ref="H301:H307">E301*4+F301*9+G301*4</f>
        <v>30.479999999999997</v>
      </c>
      <c r="I301" s="89">
        <f>0.02*D301/60</f>
        <v>0.02</v>
      </c>
      <c r="J301" s="89">
        <f>0.02*D301/60</f>
        <v>0.02</v>
      </c>
      <c r="K301" s="89">
        <f>19.95*D301/60</f>
        <v>19.95</v>
      </c>
      <c r="L301" s="89">
        <f>0.01*D301/60</f>
        <v>0.01</v>
      </c>
      <c r="M301" s="91">
        <f>0.0787*D301/60</f>
        <v>0.0787</v>
      </c>
      <c r="N301" s="89">
        <f>25.7*D301/60</f>
        <v>25.7</v>
      </c>
      <c r="O301" s="90">
        <f>13.62*D301/60</f>
        <v>13.62</v>
      </c>
      <c r="P301" s="89">
        <f>0.17*D301/60</f>
        <v>0.17</v>
      </c>
      <c r="Q301" s="89">
        <f>0.03*D301/60</f>
        <v>0.029999999999999995</v>
      </c>
      <c r="R301" s="92">
        <f>9*D301/60</f>
        <v>9</v>
      </c>
      <c r="S301" s="89">
        <f>0.28*D301/60</f>
        <v>0.28</v>
      </c>
    </row>
    <row r="302" spans="1:19" ht="11.25">
      <c r="A302" s="129">
        <v>84</v>
      </c>
      <c r="B302" s="181" t="s">
        <v>86</v>
      </c>
      <c r="C302" s="182"/>
      <c r="D302" s="71">
        <v>60</v>
      </c>
      <c r="E302" s="73">
        <v>0.3</v>
      </c>
      <c r="F302" s="73">
        <v>2</v>
      </c>
      <c r="G302" s="73">
        <v>1.6</v>
      </c>
      <c r="H302" s="73">
        <f t="shared" si="52"/>
        <v>25.6</v>
      </c>
      <c r="I302" s="73">
        <v>0.06</v>
      </c>
      <c r="J302" s="73">
        <v>0.04</v>
      </c>
      <c r="K302" s="73">
        <v>12.4</v>
      </c>
      <c r="L302" s="73">
        <v>0.001</v>
      </c>
      <c r="M302" s="73">
        <v>1.5</v>
      </c>
      <c r="N302" s="73">
        <v>28.2</v>
      </c>
      <c r="O302" s="73">
        <v>32.3</v>
      </c>
      <c r="P302" s="73">
        <v>0.3</v>
      </c>
      <c r="Q302" s="73">
        <v>0.002</v>
      </c>
      <c r="R302" s="73">
        <v>18.6</v>
      </c>
      <c r="S302" s="73">
        <v>0.5</v>
      </c>
    </row>
    <row r="303" spans="1:19" ht="11.25">
      <c r="A303" s="129">
        <v>280</v>
      </c>
      <c r="B303" s="148" t="s">
        <v>91</v>
      </c>
      <c r="C303" s="149"/>
      <c r="D303" s="69">
        <v>200</v>
      </c>
      <c r="E303" s="73">
        <v>1.77</v>
      </c>
      <c r="F303" s="73">
        <v>2.65</v>
      </c>
      <c r="G303" s="73">
        <v>12.74</v>
      </c>
      <c r="H303" s="73">
        <f t="shared" si="52"/>
        <v>81.89</v>
      </c>
      <c r="I303" s="73">
        <v>0.05</v>
      </c>
      <c r="J303" s="73">
        <v>0.05</v>
      </c>
      <c r="K303" s="73">
        <v>19</v>
      </c>
      <c r="L303" s="73">
        <v>0.74</v>
      </c>
      <c r="M303" s="69">
        <v>0.1</v>
      </c>
      <c r="N303" s="73">
        <v>43.11</v>
      </c>
      <c r="O303" s="73">
        <v>48.75</v>
      </c>
      <c r="P303" s="70">
        <v>1.3</v>
      </c>
      <c r="Q303" s="74">
        <v>0.0032</v>
      </c>
      <c r="R303" s="73">
        <v>22.44</v>
      </c>
      <c r="S303" s="73">
        <v>0.8</v>
      </c>
    </row>
    <row r="304" spans="1:19" ht="11.25">
      <c r="A304" s="79">
        <v>171</v>
      </c>
      <c r="B304" s="148" t="s">
        <v>108</v>
      </c>
      <c r="C304" s="149"/>
      <c r="D304" s="71">
        <v>90</v>
      </c>
      <c r="E304" s="73">
        <f>9.67*D304/80</f>
        <v>10.87875</v>
      </c>
      <c r="F304" s="73">
        <f>10.18*D304/80</f>
        <v>11.452499999999999</v>
      </c>
      <c r="G304" s="73">
        <f>9.14*D304/80</f>
        <v>10.2825</v>
      </c>
      <c r="H304" s="73">
        <f t="shared" si="52"/>
        <v>187.71749999999997</v>
      </c>
      <c r="I304" s="74">
        <f>0.07*D304/80</f>
        <v>0.07875000000000001</v>
      </c>
      <c r="J304" s="69">
        <f>0.12*D304/80</f>
        <v>0.13499999999999998</v>
      </c>
      <c r="K304" s="73">
        <f>0.63*D304/80</f>
        <v>0.70875</v>
      </c>
      <c r="L304" s="74">
        <f>0.02*D304/80</f>
        <v>0.0225</v>
      </c>
      <c r="M304" s="69">
        <f>0.02*D304/80</f>
        <v>0.0225</v>
      </c>
      <c r="N304" s="73">
        <f>28.43*D304/80</f>
        <v>31.983749999999997</v>
      </c>
      <c r="O304" s="73">
        <f>111.3*D304/80</f>
        <v>125.2125</v>
      </c>
      <c r="P304" s="73">
        <f>1.45*D304/80</f>
        <v>1.63125</v>
      </c>
      <c r="Q304" s="74">
        <f>0.08*D304/80</f>
        <v>0.09</v>
      </c>
      <c r="R304" s="73">
        <f>15.17*D304/80</f>
        <v>17.06625</v>
      </c>
      <c r="S304" s="73">
        <f>0.32</f>
        <v>0.32</v>
      </c>
    </row>
    <row r="305" spans="1:19" ht="11.25">
      <c r="A305" s="114">
        <v>389</v>
      </c>
      <c r="B305" s="148" t="s">
        <v>24</v>
      </c>
      <c r="C305" s="149"/>
      <c r="D305" s="71">
        <v>150</v>
      </c>
      <c r="E305" s="73">
        <v>6.57</v>
      </c>
      <c r="F305" s="73">
        <v>4.19</v>
      </c>
      <c r="G305" s="73">
        <v>32.32</v>
      </c>
      <c r="H305" s="73">
        <f t="shared" si="52"/>
        <v>193.27</v>
      </c>
      <c r="I305" s="73">
        <v>0.06</v>
      </c>
      <c r="J305" s="73">
        <v>0.03</v>
      </c>
      <c r="K305" s="69">
        <v>0</v>
      </c>
      <c r="L305" s="73">
        <v>0.03</v>
      </c>
      <c r="M305" s="69">
        <v>2.55</v>
      </c>
      <c r="N305" s="73">
        <v>18.12</v>
      </c>
      <c r="O305" s="73">
        <v>157.03</v>
      </c>
      <c r="P305" s="73">
        <v>0.8874</v>
      </c>
      <c r="Q305" s="77">
        <v>0.00135</v>
      </c>
      <c r="R305" s="73">
        <v>104.45</v>
      </c>
      <c r="S305" s="73">
        <v>0.72</v>
      </c>
    </row>
    <row r="306" spans="1:19" ht="11.25">
      <c r="A306" s="80" t="s">
        <v>81</v>
      </c>
      <c r="B306" s="148" t="s">
        <v>104</v>
      </c>
      <c r="C306" s="149"/>
      <c r="D306" s="71">
        <v>200</v>
      </c>
      <c r="E306" s="73">
        <v>1</v>
      </c>
      <c r="F306" s="73">
        <v>0.2</v>
      </c>
      <c r="G306" s="73">
        <v>20.2</v>
      </c>
      <c r="H306" s="73">
        <f>E306*4+F306*9+G306*4</f>
        <v>86.6</v>
      </c>
      <c r="I306" s="69">
        <v>0.02</v>
      </c>
      <c r="J306" s="69">
        <v>0.02</v>
      </c>
      <c r="K306" s="70">
        <v>4.8</v>
      </c>
      <c r="L306" s="69">
        <v>0</v>
      </c>
      <c r="M306" s="69">
        <v>0</v>
      </c>
      <c r="N306" s="70">
        <v>14</v>
      </c>
      <c r="O306" s="70">
        <v>18</v>
      </c>
      <c r="P306" s="70">
        <v>0.03</v>
      </c>
      <c r="Q306" s="70">
        <v>0</v>
      </c>
      <c r="R306" s="70">
        <v>8</v>
      </c>
      <c r="S306" s="69">
        <f>0.78*D307/40</f>
        <v>0.78</v>
      </c>
    </row>
    <row r="307" spans="1:19" ht="11.25">
      <c r="A307" s="62" t="s">
        <v>29</v>
      </c>
      <c r="B307" s="148" t="s">
        <v>46</v>
      </c>
      <c r="C307" s="149"/>
      <c r="D307" s="71">
        <v>40</v>
      </c>
      <c r="E307" s="73">
        <f>2.64*D307/40</f>
        <v>2.64</v>
      </c>
      <c r="F307" s="73">
        <f>0.48*D307/40</f>
        <v>0.48</v>
      </c>
      <c r="G307" s="73">
        <f>13.68*D307/40</f>
        <v>13.680000000000001</v>
      </c>
      <c r="H307" s="70">
        <f t="shared" si="52"/>
        <v>69.60000000000001</v>
      </c>
      <c r="I307" s="69">
        <f>0.08*D307/40</f>
        <v>0.08</v>
      </c>
      <c r="J307" s="73">
        <f>0.04*D307/40</f>
        <v>0.04</v>
      </c>
      <c r="K307" s="71">
        <v>0</v>
      </c>
      <c r="L307" s="71">
        <v>0</v>
      </c>
      <c r="M307" s="73">
        <f>2.4*D307/40</f>
        <v>2.4</v>
      </c>
      <c r="N307" s="73">
        <f>14*D307/40</f>
        <v>14</v>
      </c>
      <c r="O307" s="73">
        <f>63.2*D307/40</f>
        <v>63.2</v>
      </c>
      <c r="P307" s="73">
        <f>1.2*D307/40</f>
        <v>1.2</v>
      </c>
      <c r="Q307" s="74">
        <f>0.001*D307/40</f>
        <v>0.001</v>
      </c>
      <c r="R307" s="73">
        <f>9.4*D307/40</f>
        <v>9.4</v>
      </c>
      <c r="S307" s="74">
        <f>0.223</f>
        <v>0.223</v>
      </c>
    </row>
    <row r="308" spans="1:19" ht="12.75" customHeight="1">
      <c r="A308" s="136" t="s">
        <v>68</v>
      </c>
      <c r="B308" s="63"/>
      <c r="C308" s="63"/>
      <c r="D308" s="66">
        <f>SUM(D302:D307)</f>
        <v>740</v>
      </c>
      <c r="E308" s="38">
        <f>SUM(E302:E307)</f>
        <v>23.15875</v>
      </c>
      <c r="F308" s="37">
        <f>SUM(F302:F307)</f>
        <v>20.9725</v>
      </c>
      <c r="G308" s="37">
        <f>SUM(G302:G307)</f>
        <v>90.8225</v>
      </c>
      <c r="H308" s="37">
        <f>SUM(H302:H307)</f>
        <v>644.6775</v>
      </c>
      <c r="I308" s="37">
        <f aca="true" t="shared" si="53" ref="I308:R308">SUM(I302:I307)</f>
        <v>0.34875000000000006</v>
      </c>
      <c r="J308" s="38">
        <f t="shared" si="53"/>
        <v>0.315</v>
      </c>
      <c r="K308" s="37">
        <f t="shared" si="53"/>
        <v>36.90875</v>
      </c>
      <c r="L308" s="37">
        <f t="shared" si="53"/>
        <v>0.7935</v>
      </c>
      <c r="M308" s="42">
        <f t="shared" si="53"/>
        <v>6.5725</v>
      </c>
      <c r="N308" s="37">
        <f t="shared" si="53"/>
        <v>149.41375</v>
      </c>
      <c r="O308" s="37">
        <f t="shared" si="53"/>
        <v>444.4925</v>
      </c>
      <c r="P308" s="37">
        <f t="shared" si="53"/>
        <v>5.348650000000001</v>
      </c>
      <c r="Q308" s="39">
        <f t="shared" si="53"/>
        <v>0.09755</v>
      </c>
      <c r="R308" s="37">
        <f t="shared" si="53"/>
        <v>179.95625</v>
      </c>
      <c r="S308" s="43"/>
    </row>
    <row r="309" spans="1:19" ht="11.25">
      <c r="A309" s="139" t="s">
        <v>69</v>
      </c>
      <c r="B309" s="137"/>
      <c r="C309" s="137"/>
      <c r="D309" s="138"/>
      <c r="E309" s="78">
        <f aca="true" t="shared" si="54" ref="E309:R309">E308/E310</f>
        <v>0.30076298701298704</v>
      </c>
      <c r="F309" s="43">
        <f t="shared" si="54"/>
        <v>0.2654746835443038</v>
      </c>
      <c r="G309" s="43">
        <f t="shared" si="54"/>
        <v>0.2711119402985075</v>
      </c>
      <c r="H309" s="43">
        <f t="shared" si="54"/>
        <v>0.2743308510638298</v>
      </c>
      <c r="I309" s="43">
        <f t="shared" si="54"/>
        <v>0.2906250000000001</v>
      </c>
      <c r="J309" s="43">
        <f t="shared" si="54"/>
        <v>0.225</v>
      </c>
      <c r="K309" s="43">
        <f t="shared" si="54"/>
        <v>0.6151458333333333</v>
      </c>
      <c r="L309" s="43">
        <f t="shared" si="54"/>
        <v>1.1335714285714287</v>
      </c>
      <c r="M309" s="43">
        <f t="shared" si="54"/>
        <v>0.65725</v>
      </c>
      <c r="N309" s="43">
        <f t="shared" si="54"/>
        <v>0.1358306818181818</v>
      </c>
      <c r="O309" s="43">
        <f t="shared" si="54"/>
        <v>0.4040840909090909</v>
      </c>
      <c r="P309" s="43">
        <f t="shared" si="54"/>
        <v>0.5348650000000001</v>
      </c>
      <c r="Q309" s="43">
        <f t="shared" si="54"/>
        <v>0.9754999999999999</v>
      </c>
      <c r="R309" s="43">
        <f t="shared" si="54"/>
        <v>0.719825</v>
      </c>
      <c r="S309" s="127"/>
    </row>
    <row r="310" spans="1:19" ht="11.25">
      <c r="A310" s="56" t="s">
        <v>103</v>
      </c>
      <c r="B310" s="140"/>
      <c r="C310" s="140"/>
      <c r="D310" s="141"/>
      <c r="E310" s="73">
        <v>77</v>
      </c>
      <c r="F310" s="70">
        <v>79</v>
      </c>
      <c r="G310" s="70">
        <v>335</v>
      </c>
      <c r="H310" s="70">
        <v>2350</v>
      </c>
      <c r="I310" s="73">
        <v>1.2</v>
      </c>
      <c r="J310" s="73">
        <v>1.4</v>
      </c>
      <c r="K310" s="71">
        <v>60</v>
      </c>
      <c r="L310" s="73">
        <v>0.7</v>
      </c>
      <c r="M310" s="71">
        <v>10</v>
      </c>
      <c r="N310" s="71">
        <v>1100</v>
      </c>
      <c r="O310" s="71">
        <v>1100</v>
      </c>
      <c r="P310" s="71">
        <v>10</v>
      </c>
      <c r="Q310" s="70">
        <v>0.1</v>
      </c>
      <c r="R310" s="71">
        <v>250</v>
      </c>
      <c r="S310" s="44"/>
    </row>
    <row r="311" spans="1:19" ht="11.25">
      <c r="A311" s="56"/>
      <c r="B311" s="56"/>
      <c r="C311" s="115"/>
      <c r="D311" s="115"/>
      <c r="E311" s="105"/>
      <c r="F311" s="72"/>
      <c r="G311" s="2"/>
      <c r="H311" s="2"/>
      <c r="I311" s="72"/>
      <c r="J311" s="72"/>
      <c r="K311" s="72"/>
      <c r="L311" s="128" t="s">
        <v>80</v>
      </c>
      <c r="M311" s="128"/>
      <c r="N311" s="128"/>
      <c r="O311" s="128"/>
      <c r="P311" s="128"/>
      <c r="Q311" s="128"/>
      <c r="R311" s="128"/>
      <c r="S311" s="116"/>
    </row>
    <row r="312" spans="1:19" ht="11.25">
      <c r="A312" s="56"/>
      <c r="B312" s="56"/>
      <c r="C312" s="115"/>
      <c r="D312" s="115"/>
      <c r="E312" s="105"/>
      <c r="F312" s="72"/>
      <c r="G312" s="2"/>
      <c r="H312" s="2"/>
      <c r="I312" s="72"/>
      <c r="J312" s="72"/>
      <c r="K312" s="72"/>
      <c r="L312" s="116"/>
      <c r="M312" s="116"/>
      <c r="N312" s="116"/>
      <c r="O312" s="116"/>
      <c r="P312" s="116"/>
      <c r="Q312" s="116"/>
      <c r="R312" s="116"/>
      <c r="S312" s="72"/>
    </row>
    <row r="313" spans="1:19" ht="12.75">
      <c r="A313" s="126"/>
      <c r="B313" s="56"/>
      <c r="C313" s="56"/>
      <c r="D313" s="72"/>
      <c r="E313" s="35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126"/>
    </row>
    <row r="314" spans="1:19" ht="12.75">
      <c r="A314" s="57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4"/>
    </row>
    <row r="315" spans="1:19" ht="12.75">
      <c r="A315" s="96"/>
      <c r="B315" s="57"/>
      <c r="C315" s="57"/>
      <c r="D315" s="4"/>
      <c r="E315" s="106"/>
      <c r="F315" s="4"/>
      <c r="G315" s="6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96"/>
    </row>
    <row r="316" spans="2:18" ht="12.75">
      <c r="B316" s="96"/>
      <c r="C316" s="96"/>
      <c r="D316" s="96"/>
      <c r="E316" s="107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</row>
  </sheetData>
  <sheetProtection/>
  <mergeCells count="315">
    <mergeCell ref="B145:C145"/>
    <mergeCell ref="B88:C88"/>
    <mergeCell ref="B83:C83"/>
    <mergeCell ref="B304:C304"/>
    <mergeCell ref="B301:C301"/>
    <mergeCell ref="B267:C267"/>
    <mergeCell ref="N265:S265"/>
    <mergeCell ref="B222:C222"/>
    <mergeCell ref="B223:C223"/>
    <mergeCell ref="B192:C192"/>
    <mergeCell ref="B254:C254"/>
    <mergeCell ref="B156:C156"/>
    <mergeCell ref="B157:C157"/>
    <mergeCell ref="B158:C158"/>
    <mergeCell ref="B180:C180"/>
    <mergeCell ref="D173:E173"/>
    <mergeCell ref="E174:G174"/>
    <mergeCell ref="B179:C179"/>
    <mergeCell ref="B150:C150"/>
    <mergeCell ref="B53:C53"/>
    <mergeCell ref="B54:C54"/>
    <mergeCell ref="B55:C55"/>
    <mergeCell ref="B79:C79"/>
    <mergeCell ref="B112:C112"/>
    <mergeCell ref="B113:C113"/>
    <mergeCell ref="B87:C87"/>
    <mergeCell ref="B82:C82"/>
    <mergeCell ref="B111:C111"/>
    <mergeCell ref="B11:C11"/>
    <mergeCell ref="B18:C18"/>
    <mergeCell ref="B20:C20"/>
    <mergeCell ref="B22:C22"/>
    <mergeCell ref="B44:C44"/>
    <mergeCell ref="B19:C19"/>
    <mergeCell ref="B30:C30"/>
    <mergeCell ref="A17:S17"/>
    <mergeCell ref="B21:C21"/>
    <mergeCell ref="B212:C212"/>
    <mergeCell ref="B119:C119"/>
    <mergeCell ref="B186:C186"/>
    <mergeCell ref="B114:C114"/>
    <mergeCell ref="B115:C115"/>
    <mergeCell ref="B178:C178"/>
    <mergeCell ref="L36:S36"/>
    <mergeCell ref="H40:H41"/>
    <mergeCell ref="K264:L264"/>
    <mergeCell ref="B249:C249"/>
    <mergeCell ref="B197:C197"/>
    <mergeCell ref="B181:C181"/>
    <mergeCell ref="B190:C190"/>
    <mergeCell ref="B191:C191"/>
    <mergeCell ref="B253:C253"/>
    <mergeCell ref="D207:E207"/>
    <mergeCell ref="K207:L207"/>
    <mergeCell ref="M264:S264"/>
    <mergeCell ref="B257:C257"/>
    <mergeCell ref="L260:S260"/>
    <mergeCell ref="B214:C214"/>
    <mergeCell ref="B224:C224"/>
    <mergeCell ref="B213:C213"/>
    <mergeCell ref="M207:S207"/>
    <mergeCell ref="D5:D6"/>
    <mergeCell ref="B10:C10"/>
    <mergeCell ref="B29:C29"/>
    <mergeCell ref="I265:M265"/>
    <mergeCell ref="A34:D34"/>
    <mergeCell ref="A67:D67"/>
    <mergeCell ref="D39:E39"/>
    <mergeCell ref="B42:C42"/>
    <mergeCell ref="A43:S43"/>
    <mergeCell ref="K38:L38"/>
    <mergeCell ref="M39:S39"/>
    <mergeCell ref="N40:S40"/>
    <mergeCell ref="K39:L39"/>
    <mergeCell ref="W1:W4"/>
    <mergeCell ref="I5:M5"/>
    <mergeCell ref="L1:S1"/>
    <mergeCell ref="A2:S2"/>
    <mergeCell ref="F3:H3"/>
    <mergeCell ref="B5:C6"/>
    <mergeCell ref="T1:T4"/>
    <mergeCell ref="U1:U4"/>
    <mergeCell ref="K3:L3"/>
    <mergeCell ref="D4:E4"/>
    <mergeCell ref="B250:C250"/>
    <mergeCell ref="D265:D266"/>
    <mergeCell ref="B271:C271"/>
    <mergeCell ref="B272:C272"/>
    <mergeCell ref="B269:C269"/>
    <mergeCell ref="A264:A265"/>
    <mergeCell ref="B265:C266"/>
    <mergeCell ref="F139:H139"/>
    <mergeCell ref="A140:A141"/>
    <mergeCell ref="L136:S136"/>
    <mergeCell ref="K139:L139"/>
    <mergeCell ref="B143:C143"/>
    <mergeCell ref="M140:S140"/>
    <mergeCell ref="B149:C149"/>
    <mergeCell ref="N141:S141"/>
    <mergeCell ref="B120:C120"/>
    <mergeCell ref="B124:C124"/>
    <mergeCell ref="B129:C129"/>
    <mergeCell ref="B130:C130"/>
    <mergeCell ref="B121:C121"/>
    <mergeCell ref="A61:S61"/>
    <mergeCell ref="B47:C47"/>
    <mergeCell ref="B45:C45"/>
    <mergeCell ref="B64:C64"/>
    <mergeCell ref="A72:S72"/>
    <mergeCell ref="F73:H73"/>
    <mergeCell ref="K73:L73"/>
    <mergeCell ref="A68:D68"/>
    <mergeCell ref="B123:C123"/>
    <mergeCell ref="B63:C63"/>
    <mergeCell ref="I75:M75"/>
    <mergeCell ref="I40:M40"/>
    <mergeCell ref="E40:G40"/>
    <mergeCell ref="B56:C56"/>
    <mergeCell ref="B58:C58"/>
    <mergeCell ref="B57:C57"/>
    <mergeCell ref="A5:A6"/>
    <mergeCell ref="K4:L4"/>
    <mergeCell ref="F38:H38"/>
    <mergeCell ref="A52:S52"/>
    <mergeCell ref="B48:C48"/>
    <mergeCell ref="A50:D50"/>
    <mergeCell ref="B46:C46"/>
    <mergeCell ref="A27:S27"/>
    <mergeCell ref="A37:S37"/>
    <mergeCell ref="A40:A41"/>
    <mergeCell ref="B40:C41"/>
    <mergeCell ref="D40:D41"/>
    <mergeCell ref="A35:D35"/>
    <mergeCell ref="A33:D33"/>
    <mergeCell ref="M4:S4"/>
    <mergeCell ref="N5:S5"/>
    <mergeCell ref="A8:S8"/>
    <mergeCell ref="E5:G5"/>
    <mergeCell ref="H5:H6"/>
    <mergeCell ref="B7:C7"/>
    <mergeCell ref="B91:C91"/>
    <mergeCell ref="B92:C92"/>
    <mergeCell ref="B77:C77"/>
    <mergeCell ref="D75:D76"/>
    <mergeCell ref="B9:C9"/>
    <mergeCell ref="B12:C12"/>
    <mergeCell ref="A15:D15"/>
    <mergeCell ref="B23:C23"/>
    <mergeCell ref="A25:D25"/>
    <mergeCell ref="B89:C89"/>
    <mergeCell ref="B90:C90"/>
    <mergeCell ref="A66:D66"/>
    <mergeCell ref="A69:D69"/>
    <mergeCell ref="D74:E74"/>
    <mergeCell ref="K74:L74"/>
    <mergeCell ref="L70:S70"/>
    <mergeCell ref="F105:H105"/>
    <mergeCell ref="K105:L105"/>
    <mergeCell ref="L103:S103"/>
    <mergeCell ref="M74:S74"/>
    <mergeCell ref="A75:A76"/>
    <mergeCell ref="N75:S75"/>
    <mergeCell ref="B75:C76"/>
    <mergeCell ref="E75:G75"/>
    <mergeCell ref="H75:H76"/>
    <mergeCell ref="D106:E106"/>
    <mergeCell ref="K106:L106"/>
    <mergeCell ref="M106:S106"/>
    <mergeCell ref="B109:C109"/>
    <mergeCell ref="N107:S107"/>
    <mergeCell ref="A78:S78"/>
    <mergeCell ref="B96:C96"/>
    <mergeCell ref="A106:A107"/>
    <mergeCell ref="B107:C108"/>
    <mergeCell ref="D107:D108"/>
    <mergeCell ref="E107:G107"/>
    <mergeCell ref="I107:M107"/>
    <mergeCell ref="D140:E140"/>
    <mergeCell ref="K140:L140"/>
    <mergeCell ref="B122:C122"/>
    <mergeCell ref="B141:C142"/>
    <mergeCell ref="D141:D142"/>
    <mergeCell ref="H141:H142"/>
    <mergeCell ref="E141:G141"/>
    <mergeCell ref="I141:M141"/>
    <mergeCell ref="L170:S170"/>
    <mergeCell ref="B154:C154"/>
    <mergeCell ref="B146:C146"/>
    <mergeCell ref="B147:C147"/>
    <mergeCell ref="B155:C155"/>
    <mergeCell ref="K172:L172"/>
    <mergeCell ref="K173:L173"/>
    <mergeCell ref="M173:S173"/>
    <mergeCell ref="B163:C163"/>
    <mergeCell ref="B159:C159"/>
    <mergeCell ref="B164:C164"/>
    <mergeCell ref="K206:L206"/>
    <mergeCell ref="L204:S204"/>
    <mergeCell ref="H174:H175"/>
    <mergeCell ref="I174:M174"/>
    <mergeCell ref="M172:P172"/>
    <mergeCell ref="F172:H172"/>
    <mergeCell ref="A173:A174"/>
    <mergeCell ref="B174:C175"/>
    <mergeCell ref="D174:D175"/>
    <mergeCell ref="B176:C176"/>
    <mergeCell ref="B187:C187"/>
    <mergeCell ref="B188:C188"/>
    <mergeCell ref="A207:A208"/>
    <mergeCell ref="B208:C209"/>
    <mergeCell ref="D208:D209"/>
    <mergeCell ref="E208:G208"/>
    <mergeCell ref="H208:H209"/>
    <mergeCell ref="I208:M208"/>
    <mergeCell ref="M206:P206"/>
    <mergeCell ref="F206:H206"/>
    <mergeCell ref="B215:C215"/>
    <mergeCell ref="B225:C225"/>
    <mergeCell ref="B231:C231"/>
    <mergeCell ref="B216:C216"/>
    <mergeCell ref="B217:C217"/>
    <mergeCell ref="B226:C226"/>
    <mergeCell ref="F240:H240"/>
    <mergeCell ref="D242:D243"/>
    <mergeCell ref="D264:E264"/>
    <mergeCell ref="B255:C255"/>
    <mergeCell ref="D286:E286"/>
    <mergeCell ref="B232:C232"/>
    <mergeCell ref="D241:E241"/>
    <mergeCell ref="B256:C256"/>
    <mergeCell ref="B293:C293"/>
    <mergeCell ref="A241:A242"/>
    <mergeCell ref="B242:C243"/>
    <mergeCell ref="B277:C277"/>
    <mergeCell ref="B278:C278"/>
    <mergeCell ref="B276:C276"/>
    <mergeCell ref="M240:P240"/>
    <mergeCell ref="N242:S242"/>
    <mergeCell ref="B246:C246"/>
    <mergeCell ref="B247:C247"/>
    <mergeCell ref="K241:L241"/>
    <mergeCell ref="H265:H266"/>
    <mergeCell ref="E265:G265"/>
    <mergeCell ref="M241:S241"/>
    <mergeCell ref="B244:C244"/>
    <mergeCell ref="H242:H243"/>
    <mergeCell ref="I242:M242"/>
    <mergeCell ref="B248:C248"/>
    <mergeCell ref="B306:C306"/>
    <mergeCell ref="B305:C305"/>
    <mergeCell ref="H287:H288"/>
    <mergeCell ref="B296:C296"/>
    <mergeCell ref="B297:C297"/>
    <mergeCell ref="B289:C289"/>
    <mergeCell ref="B295:C295"/>
    <mergeCell ref="B303:C303"/>
    <mergeCell ref="B307:C307"/>
    <mergeCell ref="F263:H263"/>
    <mergeCell ref="K263:L263"/>
    <mergeCell ref="B291:C291"/>
    <mergeCell ref="I287:M287"/>
    <mergeCell ref="M263:P263"/>
    <mergeCell ref="B292:C292"/>
    <mergeCell ref="B302:C302"/>
    <mergeCell ref="E287:G287"/>
    <mergeCell ref="A286:A287"/>
    <mergeCell ref="B275:C275"/>
    <mergeCell ref="L283:S283"/>
    <mergeCell ref="B281:C281"/>
    <mergeCell ref="B279:C279"/>
    <mergeCell ref="B280:C280"/>
    <mergeCell ref="M285:P285"/>
    <mergeCell ref="F285:H285"/>
    <mergeCell ref="W10:W11"/>
    <mergeCell ref="U10:U11"/>
    <mergeCell ref="V10:V11"/>
    <mergeCell ref="U167:U169"/>
    <mergeCell ref="V167:V169"/>
    <mergeCell ref="W167:W169"/>
    <mergeCell ref="K240:L240"/>
    <mergeCell ref="N208:S208"/>
    <mergeCell ref="B287:C288"/>
    <mergeCell ref="L238:S238"/>
    <mergeCell ref="E242:G242"/>
    <mergeCell ref="D287:D288"/>
    <mergeCell ref="K286:L286"/>
    <mergeCell ref="M286:S286"/>
    <mergeCell ref="K285:L285"/>
    <mergeCell ref="N287:S287"/>
    <mergeCell ref="M3:P3"/>
    <mergeCell ref="M38:P38"/>
    <mergeCell ref="M73:P73"/>
    <mergeCell ref="M105:P105"/>
    <mergeCell ref="M139:P139"/>
    <mergeCell ref="B13:C13"/>
    <mergeCell ref="A32:D32"/>
    <mergeCell ref="H107:H108"/>
    <mergeCell ref="B28:C28"/>
    <mergeCell ref="B198:C198"/>
    <mergeCell ref="A60:D60"/>
    <mergeCell ref="B189:C189"/>
    <mergeCell ref="B210:C210"/>
    <mergeCell ref="N174:S174"/>
    <mergeCell ref="B182:C182"/>
    <mergeCell ref="B80:C80"/>
    <mergeCell ref="B81:C81"/>
    <mergeCell ref="B270:C270"/>
    <mergeCell ref="B294:C294"/>
    <mergeCell ref="B97:C97"/>
    <mergeCell ref="B62:C62"/>
    <mergeCell ref="B128:C128"/>
    <mergeCell ref="B148:C148"/>
    <mergeCell ref="B196:C196"/>
    <mergeCell ref="B230:C230"/>
    <mergeCell ref="B221:C22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5" r:id="rId1"/>
  <rowBreaks count="8" manualBreakCount="8">
    <brk id="29" max="19" man="1"/>
    <brk id="56" max="19" man="1"/>
    <brk id="87" max="19" man="1"/>
    <brk id="116" max="255" man="1"/>
    <brk id="144" max="19" man="1"/>
    <brk id="173" max="19" man="1"/>
    <brk id="199" max="19" man="1"/>
    <brk id="2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zav_karam_nijn</dc:creator>
  <cp:keywords/>
  <dc:description/>
  <cp:lastModifiedBy>ACER</cp:lastModifiedBy>
  <cp:lastPrinted>2022-10-13T11:52:53Z</cp:lastPrinted>
  <dcterms:created xsi:type="dcterms:W3CDTF">2017-06-07T09:01:22Z</dcterms:created>
  <dcterms:modified xsi:type="dcterms:W3CDTF">2022-10-14T08:24:16Z</dcterms:modified>
  <cp:category/>
  <cp:version/>
  <cp:contentType/>
  <cp:contentStatus/>
  <cp:revision>1</cp:revision>
</cp:coreProperties>
</file>